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5.xml" ContentType="application/vnd.openxmlformats-officedocument.drawing+xml"/>
  <Override PartName="/xl/comments7.xml" ContentType="application/vnd.openxmlformats-officedocument.spreadsheetml.comment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codeName="ThisWorkbook"/>
  <mc:AlternateContent xmlns:mc="http://schemas.openxmlformats.org/markup-compatibility/2006">
    <mc:Choice Requires="x15">
      <x15ac:absPath xmlns:x15ac="http://schemas.microsoft.com/office/spreadsheetml/2010/11/ac" url="C:\Users\kMcSurdy\Box\COMMS NEW LEVEL 1\01 - Content Marketing\PR\Lisa Capone\LUNA EE Report 2024\"/>
    </mc:Choice>
  </mc:AlternateContent>
  <xr:revisionPtr revIDLastSave="1" documentId="13_ncr:1_{34BAB47D-6DE9-4591-9393-399C5898EAF4}" xr6:coauthVersionLast="47" xr6:coauthVersionMax="47" xr10:uidLastSave="{71DAE81A-9E46-41EE-9F52-5292A41537C8}"/>
  <bookViews>
    <workbookView xWindow="-28920" yWindow="990" windowWidth="29040" windowHeight="15840" tabRatio="907" firstSheet="2" activeTab="1" xr2:uid="{A6618768-B4C8-4B89-94DA-766A5061A2E0}"/>
  </bookViews>
  <sheets>
    <sheet name="Instructions" sheetId="18" r:id="rId1"/>
    <sheet name="Dashboard" sheetId="7" r:id="rId2"/>
    <sheet name="Base_Energy" sheetId="17" r:id="rId3"/>
    <sheet name="Capital_R1" sheetId="2" r:id="rId4"/>
    <sheet name="Capital_R2" sheetId="3" r:id="rId5"/>
    <sheet name="Capital_Summary (Ref)" sheetId="4" r:id="rId6"/>
    <sheet name="Maint_Base" sheetId="11" r:id="rId7"/>
    <sheet name="Maint_R1" sheetId="9" r:id="rId8"/>
    <sheet name="Maint_R2" sheetId="12" r:id="rId9"/>
    <sheet name="Maint_Summary (Ref)" sheetId="13" r:id="rId10"/>
    <sheet name="Energy" sheetId="14" r:id="rId11"/>
    <sheet name="Rebates" sheetId="15" r:id="rId12"/>
    <sheet name="ROI (ref)" sheetId="16" r:id="rId13"/>
    <sheet name="OpHrs (Ref)" sheetId="5" r:id="rId14"/>
    <sheet name="OpHrs_Summary (Ref)" sheetId="6" r:id="rId15"/>
  </sheets>
  <externalReferences>
    <externalReference r:id="rId16"/>
    <externalReference r:id="rId17"/>
  </externalReferences>
  <definedNames>
    <definedName name="CAM_UCS_xyY">[1]CAM_UCS!$A$1</definedName>
    <definedName name="CCT">[2]CCTCalc!$A$1</definedName>
    <definedName name="CMCCAT">#REF!</definedName>
    <definedName name="CMCCATv">#REF!</definedName>
    <definedName name="DOMIN_V">#REF!</definedName>
    <definedName name="Duvtoxy">#REF!</definedName>
    <definedName name="LAB">#REF!</definedName>
    <definedName name="obs">#REF!</definedName>
    <definedName name="RUNMACRO">#REF!</definedName>
  </definedNames>
  <calcPr calcId="191028" iterate="1" iterateCount="10000" iterateDelta="1.0000000000000001E-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6" l="1"/>
  <c r="L10" i="7" s="1"/>
  <c r="A11" i="16"/>
  <c r="A12" i="16"/>
  <c r="A13" i="16"/>
  <c r="A14" i="16"/>
  <c r="A15" i="16"/>
  <c r="A16" i="16"/>
  <c r="A17" i="16"/>
  <c r="A18" i="16"/>
  <c r="L18" i="7" s="1"/>
  <c r="A19" i="16"/>
  <c r="L19" i="7" s="1"/>
  <c r="F26" i="15"/>
  <c r="A20" i="14"/>
  <c r="F15" i="15" s="1"/>
  <c r="F27" i="15" s="1"/>
  <c r="A17" i="14"/>
  <c r="A32" i="14" s="1"/>
  <c r="A14" i="14"/>
  <c r="A29" i="14" s="1"/>
  <c r="A11" i="14"/>
  <c r="F9" i="15" s="1"/>
  <c r="F21" i="15" s="1"/>
  <c r="F14" i="15"/>
  <c r="F12" i="15"/>
  <c r="F24" i="15" s="1"/>
  <c r="F10" i="15"/>
  <c r="F22" i="15" s="1"/>
  <c r="A27" i="14"/>
  <c r="A28" i="14"/>
  <c r="A30" i="14"/>
  <c r="A31" i="14"/>
  <c r="A33" i="14"/>
  <c r="A34" i="14"/>
  <c r="A19" i="14"/>
  <c r="A18" i="14"/>
  <c r="A16" i="14"/>
  <c r="A15" i="14"/>
  <c r="A13" i="14"/>
  <c r="A12" i="14"/>
  <c r="A10" i="14"/>
  <c r="A9" i="16" s="1"/>
  <c r="L9" i="7" s="1"/>
  <c r="A9" i="14"/>
  <c r="A24" i="14" s="1"/>
  <c r="L8" i="13"/>
  <c r="I11" i="13"/>
  <c r="I10" i="13"/>
  <c r="I9" i="13"/>
  <c r="C11" i="13"/>
  <c r="C10" i="13"/>
  <c r="C9" i="13"/>
  <c r="T11" i="13"/>
  <c r="T10" i="13"/>
  <c r="T9" i="13"/>
  <c r="A40" i="12"/>
  <c r="A31" i="12"/>
  <c r="A22" i="12"/>
  <c r="A36" i="9"/>
  <c r="A27" i="9"/>
  <c r="A18" i="9"/>
  <c r="A33" i="11"/>
  <c r="A25" i="11"/>
  <c r="A17" i="11"/>
  <c r="A3" i="11"/>
  <c r="C8" i="13" s="1"/>
  <c r="I8" i="13" s="1"/>
  <c r="T8" i="13" s="1"/>
  <c r="C11" i="4"/>
  <c r="C10" i="4"/>
  <c r="C9" i="4"/>
  <c r="C8" i="4"/>
  <c r="A40" i="3"/>
  <c r="A31" i="3"/>
  <c r="A22" i="3"/>
  <c r="A3" i="3"/>
  <c r="A36" i="2"/>
  <c r="A27" i="2"/>
  <c r="A18" i="2"/>
  <c r="A3" i="2"/>
  <c r="L11" i="7"/>
  <c r="L17" i="7"/>
  <c r="L15" i="7"/>
  <c r="L16" i="7"/>
  <c r="L14" i="7"/>
  <c r="L12" i="7"/>
  <c r="L13" i="7"/>
  <c r="AG81" i="5"/>
  <c r="AG82" i="5"/>
  <c r="AG83" i="5"/>
  <c r="AG84" i="5"/>
  <c r="AG85" i="5"/>
  <c r="AG86" i="5"/>
  <c r="AG87" i="5"/>
  <c r="AG88" i="5"/>
  <c r="AG89" i="5"/>
  <c r="AG90" i="5"/>
  <c r="AG91" i="5"/>
  <c r="AG92" i="5"/>
  <c r="AG93" i="5"/>
  <c r="AG94" i="5"/>
  <c r="AG95" i="5"/>
  <c r="AG96" i="5"/>
  <c r="AG97" i="5"/>
  <c r="AG98" i="5"/>
  <c r="AG99" i="5"/>
  <c r="AG100" i="5"/>
  <c r="AG101" i="5"/>
  <c r="AG102" i="5"/>
  <c r="AG103" i="5"/>
  <c r="AG104" i="5"/>
  <c r="AG105" i="5"/>
  <c r="AG106" i="5"/>
  <c r="AG107" i="5"/>
  <c r="AG108" i="5"/>
  <c r="AG109" i="5"/>
  <c r="AG110" i="5"/>
  <c r="AG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08" i="5"/>
  <c r="X109" i="5"/>
  <c r="X80" i="5"/>
  <c r="O81" i="5"/>
  <c r="O82" i="5"/>
  <c r="O83" i="5"/>
  <c r="O84" i="5"/>
  <c r="O85" i="5"/>
  <c r="O86" i="5"/>
  <c r="O87" i="5"/>
  <c r="O88" i="5"/>
  <c r="O89" i="5"/>
  <c r="O90" i="5"/>
  <c r="O91" i="5"/>
  <c r="O92" i="5"/>
  <c r="O93" i="5"/>
  <c r="O94" i="5"/>
  <c r="O95" i="5"/>
  <c r="O96" i="5"/>
  <c r="O97" i="5"/>
  <c r="O98" i="5"/>
  <c r="O99" i="5"/>
  <c r="O100" i="5"/>
  <c r="O101" i="5"/>
  <c r="O102" i="5"/>
  <c r="O103" i="5"/>
  <c r="O104" i="5"/>
  <c r="O105" i="5"/>
  <c r="O106" i="5"/>
  <c r="O107" i="5"/>
  <c r="O108" i="5"/>
  <c r="O109" i="5"/>
  <c r="O110" i="5"/>
  <c r="O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80" i="5"/>
  <c r="AG45" i="5"/>
  <c r="AG46" i="5"/>
  <c r="AG47" i="5"/>
  <c r="AG48" i="5"/>
  <c r="AG49" i="5"/>
  <c r="AG50" i="5"/>
  <c r="AG51" i="5"/>
  <c r="AG52" i="5"/>
  <c r="AG53" i="5"/>
  <c r="AG54" i="5"/>
  <c r="AG55" i="5"/>
  <c r="AG56" i="5"/>
  <c r="AG57" i="5"/>
  <c r="AG58" i="5"/>
  <c r="AG59" i="5"/>
  <c r="AG60" i="5"/>
  <c r="AG61" i="5"/>
  <c r="AG62" i="5"/>
  <c r="AG63" i="5"/>
  <c r="AG64" i="5"/>
  <c r="AG65" i="5"/>
  <c r="AG66" i="5"/>
  <c r="AG67" i="5"/>
  <c r="AG68" i="5"/>
  <c r="AG69" i="5"/>
  <c r="AG70" i="5"/>
  <c r="AG71" i="5"/>
  <c r="AG72" i="5"/>
  <c r="AG73" i="5"/>
  <c r="AG74" i="5"/>
  <c r="AG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44" i="5"/>
  <c r="AG9" i="5"/>
  <c r="AG10" i="5"/>
  <c r="AG11" i="5"/>
  <c r="AG12" i="5"/>
  <c r="AG13" i="5"/>
  <c r="AG14" i="5"/>
  <c r="AG15" i="5"/>
  <c r="AG16" i="5"/>
  <c r="AG17" i="5"/>
  <c r="AG18" i="5"/>
  <c r="AG19" i="5"/>
  <c r="AG20" i="5"/>
  <c r="AG21" i="5"/>
  <c r="AG22" i="5"/>
  <c r="AG23" i="5"/>
  <c r="AG24" i="5"/>
  <c r="AG25" i="5"/>
  <c r="AG26" i="5"/>
  <c r="AG27" i="5"/>
  <c r="AG28" i="5"/>
  <c r="AG29" i="5"/>
  <c r="AG30" i="5"/>
  <c r="AG31" i="5"/>
  <c r="AG32" i="5"/>
  <c r="AG33" i="5"/>
  <c r="AG34" i="5"/>
  <c r="AG35" i="5"/>
  <c r="AG36" i="5"/>
  <c r="AG37" i="5"/>
  <c r="AG8" i="5"/>
  <c r="X9" i="5"/>
  <c r="X10" i="5"/>
  <c r="X11" i="5"/>
  <c r="X12" i="5"/>
  <c r="X13" i="5"/>
  <c r="X14" i="5"/>
  <c r="X15" i="5"/>
  <c r="X16" i="5"/>
  <c r="X17" i="5"/>
  <c r="X18" i="5"/>
  <c r="X19" i="5"/>
  <c r="X20" i="5"/>
  <c r="X21" i="5"/>
  <c r="X22" i="5"/>
  <c r="X23" i="5"/>
  <c r="X24" i="5"/>
  <c r="X25" i="5"/>
  <c r="X26" i="5"/>
  <c r="X27" i="5"/>
  <c r="X28" i="5"/>
  <c r="X29" i="5"/>
  <c r="X30" i="5"/>
  <c r="X31" i="5"/>
  <c r="X32" i="5"/>
  <c r="X33" i="5"/>
  <c r="X34" i="5"/>
  <c r="X35" i="5"/>
  <c r="X36" i="5"/>
  <c r="X37" i="5"/>
  <c r="X38" i="5"/>
  <c r="X8" i="5"/>
  <c r="O9" i="5"/>
  <c r="O10" i="5"/>
  <c r="O11" i="5"/>
  <c r="O12" i="5"/>
  <c r="O13" i="5"/>
  <c r="O14" i="5"/>
  <c r="O15" i="5"/>
  <c r="O16" i="5"/>
  <c r="O17" i="5"/>
  <c r="O18" i="5"/>
  <c r="O19" i="5"/>
  <c r="O20" i="5"/>
  <c r="O21" i="5"/>
  <c r="O22" i="5"/>
  <c r="O23" i="5"/>
  <c r="O24" i="5"/>
  <c r="O25" i="5"/>
  <c r="O26" i="5"/>
  <c r="O27" i="5"/>
  <c r="O28" i="5"/>
  <c r="O29" i="5"/>
  <c r="O30" i="5"/>
  <c r="O31" i="5"/>
  <c r="O32" i="5"/>
  <c r="O33" i="5"/>
  <c r="O34" i="5"/>
  <c r="O35" i="5"/>
  <c r="O8" i="5"/>
  <c r="H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8" i="5"/>
  <c r="D8" i="5" s="1"/>
  <c r="E8" i="5"/>
  <c r="A3" i="14" l="1"/>
  <c r="A26" i="14"/>
  <c r="A8" i="16"/>
  <c r="L8" i="7" s="1"/>
  <c r="F8" i="15"/>
  <c r="F20" i="15" s="1"/>
  <c r="A25" i="14"/>
  <c r="A3" i="9"/>
  <c r="A3" i="12"/>
  <c r="A35" i="14"/>
  <c r="F13" i="15"/>
  <c r="F25" i="15" s="1"/>
  <c r="F11" i="15"/>
  <c r="F23" i="15" s="1"/>
  <c r="AI8" i="5"/>
  <c r="AH8" i="5"/>
  <c r="AF8" i="5"/>
  <c r="B19" i="14"/>
  <c r="O46" i="3"/>
  <c r="M44" i="3"/>
  <c r="M35" i="3"/>
  <c r="M26" i="3"/>
  <c r="M17" i="3"/>
  <c r="M40" i="2"/>
  <c r="M31" i="2"/>
  <c r="M22" i="2"/>
  <c r="M13" i="2"/>
  <c r="H6" i="9" l="1"/>
  <c r="H7" i="9"/>
  <c r="H8" i="9"/>
  <c r="H9" i="9"/>
  <c r="H10" i="9"/>
  <c r="H11" i="9"/>
  <c r="H12" i="9"/>
  <c r="I6" i="9"/>
  <c r="K6" i="9"/>
  <c r="N6" i="9"/>
  <c r="D30" i="7"/>
  <c r="F8" i="13"/>
  <c r="F11" i="13"/>
  <c r="I7" i="9"/>
  <c r="I8" i="9"/>
  <c r="I9" i="9"/>
  <c r="I10" i="9"/>
  <c r="I11" i="9"/>
  <c r="I12" i="9"/>
  <c r="I6" i="12"/>
  <c r="I7" i="12"/>
  <c r="I8" i="12"/>
  <c r="I9" i="12"/>
  <c r="I10" i="12"/>
  <c r="I11" i="12"/>
  <c r="I12" i="12"/>
  <c r="I13" i="12"/>
  <c r="I14" i="12"/>
  <c r="I15" i="12"/>
  <c r="I16" i="12"/>
  <c r="U43" i="12"/>
  <c r="U34" i="12"/>
  <c r="U25" i="12"/>
  <c r="U16" i="12"/>
  <c r="U11" i="12"/>
  <c r="U8" i="12"/>
  <c r="U7" i="12"/>
  <c r="U39" i="9"/>
  <c r="U30" i="9"/>
  <c r="U21" i="9"/>
  <c r="U12" i="9"/>
  <c r="U10" i="9"/>
  <c r="U8" i="9"/>
  <c r="J39" i="9"/>
  <c r="U36" i="11"/>
  <c r="U28" i="11"/>
  <c r="U20" i="11"/>
  <c r="U8" i="11"/>
  <c r="U9" i="11"/>
  <c r="U10" i="11"/>
  <c r="U11" i="11"/>
  <c r="U12" i="11"/>
  <c r="U7" i="11"/>
  <c r="U6" i="11"/>
  <c r="P36" i="11"/>
  <c r="P28" i="11"/>
  <c r="P20" i="11"/>
  <c r="P7" i="11"/>
  <c r="P8" i="11"/>
  <c r="P9" i="11"/>
  <c r="P10" i="11"/>
  <c r="P11" i="11"/>
  <c r="P12" i="11"/>
  <c r="P6" i="11"/>
  <c r="O11" i="12"/>
  <c r="O8" i="12"/>
  <c r="O7" i="12"/>
  <c r="P16" i="12"/>
  <c r="P11" i="12"/>
  <c r="P8" i="12"/>
  <c r="P7" i="12"/>
  <c r="P43" i="12"/>
  <c r="J43" i="12"/>
  <c r="O43" i="12"/>
  <c r="O25" i="12"/>
  <c r="P25" i="12"/>
  <c r="P34" i="12"/>
  <c r="J34" i="12"/>
  <c r="J25" i="12"/>
  <c r="P39" i="9"/>
  <c r="P30" i="9"/>
  <c r="P21" i="9"/>
  <c r="J28" i="11"/>
  <c r="J30" i="9"/>
  <c r="J21" i="9"/>
  <c r="P12" i="9"/>
  <c r="P10" i="9"/>
  <c r="P8" i="9"/>
  <c r="O39" i="9"/>
  <c r="O21" i="9"/>
  <c r="O8" i="9"/>
  <c r="J16" i="12"/>
  <c r="J11" i="12"/>
  <c r="J8" i="12"/>
  <c r="J7" i="12"/>
  <c r="J12" i="9"/>
  <c r="J10" i="9"/>
  <c r="J8" i="9"/>
  <c r="O36" i="11"/>
  <c r="O20" i="11"/>
  <c r="J20" i="11"/>
  <c r="J36" i="11"/>
  <c r="I36" i="11"/>
  <c r="I20" i="11"/>
  <c r="J8" i="11"/>
  <c r="O8" i="11"/>
  <c r="O6" i="11"/>
  <c r="I8" i="11"/>
  <c r="M43" i="3"/>
  <c r="M34" i="3"/>
  <c r="M25" i="3"/>
  <c r="M16" i="3"/>
  <c r="M11" i="3"/>
  <c r="M8" i="3"/>
  <c r="M7" i="3"/>
  <c r="M8" i="2"/>
  <c r="L6" i="9" l="1"/>
  <c r="M6" i="9" s="1"/>
  <c r="M39" i="2"/>
  <c r="M30" i="2"/>
  <c r="M21" i="2"/>
  <c r="M12" i="2"/>
  <c r="M10" i="2"/>
  <c r="F43" i="3"/>
  <c r="F34" i="3"/>
  <c r="F25" i="3"/>
  <c r="B18" i="14"/>
  <c r="B15" i="14"/>
  <c r="B12" i="14"/>
  <c r="B9" i="14"/>
  <c r="F39" i="2"/>
  <c r="F21" i="2"/>
  <c r="F38" i="17"/>
  <c r="F20" i="17"/>
  <c r="F8" i="17"/>
  <c r="F11" i="3"/>
  <c r="F8" i="3"/>
  <c r="F7" i="3"/>
  <c r="F8" i="2"/>
  <c r="G12" i="2"/>
  <c r="I12" i="2"/>
  <c r="J12" i="2" s="1"/>
  <c r="K12" i="2" s="1"/>
  <c r="N12" i="2"/>
  <c r="O12" i="2" s="1"/>
  <c r="G38" i="17"/>
  <c r="G41" i="17" s="1"/>
  <c r="G29" i="17"/>
  <c r="G32" i="17" s="1"/>
  <c r="G20" i="17"/>
  <c r="G23" i="17" s="1"/>
  <c r="G12" i="17"/>
  <c r="G11" i="17"/>
  <c r="G10" i="17"/>
  <c r="G9" i="17"/>
  <c r="G8" i="17"/>
  <c r="G7" i="17"/>
  <c r="G6" i="17"/>
  <c r="V43" i="12"/>
  <c r="W43" i="12" s="1"/>
  <c r="X43" i="12" s="1"/>
  <c r="V34" i="12"/>
  <c r="W34" i="12" s="1"/>
  <c r="X34" i="12" s="1"/>
  <c r="X37" i="12" s="1"/>
  <c r="V25" i="12"/>
  <c r="W25" i="12" s="1"/>
  <c r="X25" i="12" s="1"/>
  <c r="Q43" i="12"/>
  <c r="Q34" i="12"/>
  <c r="Q25" i="12"/>
  <c r="K43" i="12"/>
  <c r="K34" i="12"/>
  <c r="K25" i="12"/>
  <c r="V16" i="12"/>
  <c r="W16" i="12" s="1"/>
  <c r="X16" i="12" s="1"/>
  <c r="V15" i="12"/>
  <c r="W15" i="12" s="1"/>
  <c r="X15" i="12" s="1"/>
  <c r="V14" i="12"/>
  <c r="W14" i="12" s="1"/>
  <c r="X14" i="12" s="1"/>
  <c r="V13" i="12"/>
  <c r="W13" i="12" s="1"/>
  <c r="X13" i="12" s="1"/>
  <c r="V12" i="12"/>
  <c r="W12" i="12" s="1"/>
  <c r="X12" i="12" s="1"/>
  <c r="V11" i="12"/>
  <c r="W11" i="12" s="1"/>
  <c r="X11" i="12" s="1"/>
  <c r="V10" i="12"/>
  <c r="W10" i="12" s="1"/>
  <c r="X10" i="12" s="1"/>
  <c r="V9" i="12"/>
  <c r="W9" i="12" s="1"/>
  <c r="X9" i="12" s="1"/>
  <c r="V8" i="12"/>
  <c r="W8" i="12" s="1"/>
  <c r="X8" i="12" s="1"/>
  <c r="V7" i="12"/>
  <c r="W7" i="12" s="1"/>
  <c r="X7" i="12" s="1"/>
  <c r="V6" i="12"/>
  <c r="W6" i="12" s="1"/>
  <c r="X6" i="12" s="1"/>
  <c r="Q16" i="12"/>
  <c r="Q15" i="12"/>
  <c r="Q14" i="12"/>
  <c r="Q13" i="12"/>
  <c r="Q12" i="12"/>
  <c r="Q11" i="12"/>
  <c r="Q10" i="12"/>
  <c r="Q9" i="12"/>
  <c r="Q8" i="12"/>
  <c r="Q7" i="12"/>
  <c r="Q6" i="12"/>
  <c r="K16" i="12"/>
  <c r="K15" i="12"/>
  <c r="K14" i="12"/>
  <c r="K13" i="12"/>
  <c r="K12" i="12"/>
  <c r="K11" i="12"/>
  <c r="K10" i="12"/>
  <c r="K9" i="12"/>
  <c r="K8" i="12"/>
  <c r="K7" i="12"/>
  <c r="K6" i="12"/>
  <c r="V39" i="9"/>
  <c r="W39" i="9" s="1"/>
  <c r="X39" i="9" s="1"/>
  <c r="X42" i="9" s="1"/>
  <c r="V30" i="9"/>
  <c r="W30" i="9" s="1"/>
  <c r="X30" i="9" s="1"/>
  <c r="X33" i="9" s="1"/>
  <c r="V21" i="9"/>
  <c r="W21" i="9" s="1"/>
  <c r="X21" i="9" s="1"/>
  <c r="X24" i="9" s="1"/>
  <c r="Q21" i="9"/>
  <c r="Q30" i="9"/>
  <c r="Q39" i="9"/>
  <c r="K30" i="9"/>
  <c r="K21" i="9"/>
  <c r="V12" i="9"/>
  <c r="W12" i="9" s="1"/>
  <c r="V11" i="9"/>
  <c r="W11" i="9" s="1"/>
  <c r="X11" i="9" s="1"/>
  <c r="V10" i="9"/>
  <c r="W10" i="9" s="1"/>
  <c r="V9" i="9"/>
  <c r="W9" i="9" s="1"/>
  <c r="V8" i="9"/>
  <c r="W8" i="9" s="1"/>
  <c r="V7" i="9"/>
  <c r="W7" i="9" s="1"/>
  <c r="V6" i="9"/>
  <c r="W6" i="9" s="1"/>
  <c r="Q12" i="9"/>
  <c r="Q11" i="9"/>
  <c r="Q10" i="9"/>
  <c r="Q9" i="9"/>
  <c r="Q8" i="9"/>
  <c r="Q7" i="9"/>
  <c r="Q6" i="9"/>
  <c r="K12" i="9"/>
  <c r="K11" i="9"/>
  <c r="K10" i="9"/>
  <c r="K9" i="9"/>
  <c r="K8" i="9"/>
  <c r="K7" i="9"/>
  <c r="N7" i="9"/>
  <c r="N8" i="9"/>
  <c r="N9" i="9"/>
  <c r="N10" i="9"/>
  <c r="N11" i="9"/>
  <c r="N12" i="9"/>
  <c r="V36" i="11"/>
  <c r="V28" i="11"/>
  <c r="V20" i="11"/>
  <c r="V12" i="11"/>
  <c r="V11" i="11"/>
  <c r="V10" i="11"/>
  <c r="V9" i="11"/>
  <c r="V8" i="11"/>
  <c r="V7" i="11"/>
  <c r="W7" i="11" s="1"/>
  <c r="X7" i="11" s="1"/>
  <c r="R6" i="9" l="1"/>
  <c r="S6" i="9" s="1"/>
  <c r="R7" i="9"/>
  <c r="S7" i="9" s="1"/>
  <c r="R8" i="9"/>
  <c r="S8" i="9" s="1"/>
  <c r="R12" i="9"/>
  <c r="S12" i="9" s="1"/>
  <c r="R9" i="9"/>
  <c r="S9" i="9" s="1"/>
  <c r="R10" i="9"/>
  <c r="S10" i="9" s="1"/>
  <c r="R11" i="9"/>
  <c r="S11" i="9" s="1"/>
  <c r="G14" i="17"/>
  <c r="L12" i="2"/>
  <c r="Q12" i="2" s="1"/>
  <c r="P12" i="2"/>
  <c r="X19" i="12"/>
  <c r="X46" i="12"/>
  <c r="X28" i="12"/>
  <c r="X9" i="9"/>
  <c r="X10" i="9"/>
  <c r="X12" i="9"/>
  <c r="X6" i="9"/>
  <c r="X8" i="9"/>
  <c r="X7" i="9"/>
  <c r="S15" i="9" l="1"/>
  <c r="X15" i="9"/>
  <c r="Q6" i="11" l="1"/>
  <c r="V6" i="11"/>
  <c r="G39" i="2"/>
  <c r="G42" i="2" s="1"/>
  <c r="G30" i="2"/>
  <c r="G33" i="2" s="1"/>
  <c r="B16" i="14" s="1"/>
  <c r="G21" i="2"/>
  <c r="G24" i="2" s="1"/>
  <c r="B13" i="14" s="1"/>
  <c r="G10" i="2"/>
  <c r="G11" i="2"/>
  <c r="G9" i="2"/>
  <c r="G8" i="2"/>
  <c r="G7" i="2"/>
  <c r="G6" i="2"/>
  <c r="G43" i="3"/>
  <c r="G46" i="3" s="1"/>
  <c r="B20" i="14" s="1"/>
  <c r="G34" i="3"/>
  <c r="G37" i="3" s="1"/>
  <c r="B17" i="14" s="1"/>
  <c r="G25" i="3"/>
  <c r="G28" i="3" s="1"/>
  <c r="B14" i="14" s="1"/>
  <c r="G16" i="3"/>
  <c r="G15" i="3"/>
  <c r="G14" i="3"/>
  <c r="G13" i="3"/>
  <c r="G12" i="3"/>
  <c r="G11" i="3"/>
  <c r="G10" i="3"/>
  <c r="G9" i="3"/>
  <c r="G8" i="3"/>
  <c r="G7" i="3"/>
  <c r="G6" i="3"/>
  <c r="K6" i="11"/>
  <c r="K39" i="9"/>
  <c r="N39" i="9"/>
  <c r="R39" i="9" s="1"/>
  <c r="S39" i="9" s="1"/>
  <c r="S42" i="9" s="1"/>
  <c r="N30" i="9"/>
  <c r="R30" i="9" s="1"/>
  <c r="S30" i="9" s="1"/>
  <c r="S33" i="9" s="1"/>
  <c r="N21" i="9"/>
  <c r="R21" i="9" s="1"/>
  <c r="S21" i="9" s="1"/>
  <c r="N43" i="12"/>
  <c r="R43" i="12" s="1"/>
  <c r="S43" i="12" s="1"/>
  <c r="S46" i="12" s="1"/>
  <c r="N34" i="12"/>
  <c r="R34" i="12" s="1"/>
  <c r="S34" i="12" s="1"/>
  <c r="S37" i="12" s="1"/>
  <c r="N25" i="12"/>
  <c r="R25" i="12" s="1"/>
  <c r="S25" i="12" s="1"/>
  <c r="S28" i="12" s="1"/>
  <c r="N16" i="12"/>
  <c r="R16" i="12" s="1"/>
  <c r="S16" i="12" s="1"/>
  <c r="N15" i="12"/>
  <c r="R15" i="12" s="1"/>
  <c r="S15" i="12" s="1"/>
  <c r="N14" i="12"/>
  <c r="R14" i="12" s="1"/>
  <c r="S14" i="12" s="1"/>
  <c r="N13" i="12"/>
  <c r="R13" i="12" s="1"/>
  <c r="S13" i="12" s="1"/>
  <c r="N12" i="12"/>
  <c r="R12" i="12" s="1"/>
  <c r="S12" i="12" s="1"/>
  <c r="N11" i="12"/>
  <c r="R11" i="12" s="1"/>
  <c r="S11" i="12" s="1"/>
  <c r="N10" i="12"/>
  <c r="R10" i="12" s="1"/>
  <c r="S10" i="12" s="1"/>
  <c r="N9" i="12"/>
  <c r="R9" i="12" s="1"/>
  <c r="S9" i="12" s="1"/>
  <c r="N8" i="12"/>
  <c r="R8" i="12" s="1"/>
  <c r="S8" i="12" s="1"/>
  <c r="N7" i="12"/>
  <c r="R7" i="12" s="1"/>
  <c r="S7" i="12" s="1"/>
  <c r="N6" i="12"/>
  <c r="R6" i="12" s="1"/>
  <c r="S6" i="12" s="1"/>
  <c r="S19" i="12" l="1"/>
  <c r="G19" i="3"/>
  <c r="B11" i="14" s="1"/>
  <c r="G15" i="2"/>
  <c r="B10" i="14" s="1"/>
  <c r="L8" i="15" s="1"/>
  <c r="H43" i="12"/>
  <c r="L43" i="12" s="1"/>
  <c r="H34" i="12"/>
  <c r="L34" i="12" s="1"/>
  <c r="H25" i="12"/>
  <c r="L25" i="12" s="1"/>
  <c r="H16" i="12"/>
  <c r="L16" i="12" s="1"/>
  <c r="H15" i="12"/>
  <c r="L15" i="12" s="1"/>
  <c r="H14" i="12"/>
  <c r="L14" i="12" s="1"/>
  <c r="H13" i="12"/>
  <c r="L13" i="12" s="1"/>
  <c r="H12" i="12"/>
  <c r="L12" i="12" s="1"/>
  <c r="H11" i="12"/>
  <c r="L11" i="12" s="1"/>
  <c r="H10" i="12"/>
  <c r="L10" i="12" s="1"/>
  <c r="H9" i="12"/>
  <c r="L9" i="12" s="1"/>
  <c r="H8" i="12"/>
  <c r="L8" i="12" s="1"/>
  <c r="H7" i="12"/>
  <c r="L7" i="12" s="1"/>
  <c r="H6" i="12"/>
  <c r="L6" i="12" s="1"/>
  <c r="H39" i="9"/>
  <c r="H30" i="9"/>
  <c r="H21" i="9"/>
  <c r="L15" i="15"/>
  <c r="L14" i="15"/>
  <c r="L13" i="15"/>
  <c r="L12" i="15"/>
  <c r="L11" i="15"/>
  <c r="L10" i="15"/>
  <c r="L9" i="15"/>
  <c r="K36" i="11"/>
  <c r="M8" i="12" l="1"/>
  <c r="Y8" i="12"/>
  <c r="Z8" i="12" s="1"/>
  <c r="M7" i="12"/>
  <c r="Y7" i="12"/>
  <c r="Z7" i="12" s="1"/>
  <c r="M11" i="12"/>
  <c r="Y11" i="12"/>
  <c r="Z11" i="12" s="1"/>
  <c r="M14" i="12"/>
  <c r="Y14" i="12"/>
  <c r="Z14" i="12" s="1"/>
  <c r="M15" i="12"/>
  <c r="Y15" i="12"/>
  <c r="Z15" i="12" s="1"/>
  <c r="M16" i="12"/>
  <c r="Y16" i="12"/>
  <c r="Z16" i="12" s="1"/>
  <c r="M6" i="12"/>
  <c r="Y6" i="12"/>
  <c r="Z6" i="12" s="1"/>
  <c r="M25" i="12"/>
  <c r="M28" i="12" s="1"/>
  <c r="Y25" i="12"/>
  <c r="Z25" i="12" s="1"/>
  <c r="Z28" i="12" s="1"/>
  <c r="M10" i="12"/>
  <c r="Y10" i="12"/>
  <c r="Z10" i="12" s="1"/>
  <c r="M12" i="12"/>
  <c r="Y12" i="12"/>
  <c r="Z12" i="12" s="1"/>
  <c r="M34" i="12"/>
  <c r="M37" i="12" s="1"/>
  <c r="Y34" i="12"/>
  <c r="Z34" i="12" s="1"/>
  <c r="Z37" i="12" s="1"/>
  <c r="M9" i="12"/>
  <c r="Y9" i="12"/>
  <c r="Z9" i="12" s="1"/>
  <c r="M13" i="12"/>
  <c r="Y13" i="12"/>
  <c r="Z13" i="12" s="1"/>
  <c r="M43" i="12"/>
  <c r="M46" i="12" s="1"/>
  <c r="Y43" i="12"/>
  <c r="Z43" i="12" s="1"/>
  <c r="Z46" i="12" s="1"/>
  <c r="N19" i="16"/>
  <c r="N16" i="16"/>
  <c r="L10" i="13"/>
  <c r="K11" i="13"/>
  <c r="V11" i="13" s="1"/>
  <c r="Q11" i="13"/>
  <c r="Q10" i="13"/>
  <c r="K10" i="13"/>
  <c r="V10" i="13" s="1"/>
  <c r="S24" i="9"/>
  <c r="N6" i="2"/>
  <c r="Q36" i="11"/>
  <c r="Q28" i="11"/>
  <c r="K28" i="11"/>
  <c r="Q20" i="11"/>
  <c r="K20" i="11"/>
  <c r="K12" i="11"/>
  <c r="K11" i="11"/>
  <c r="K10" i="11"/>
  <c r="K9" i="11"/>
  <c r="K7" i="11"/>
  <c r="K8" i="11"/>
  <c r="M19" i="12" l="1"/>
  <c r="Z19" i="12"/>
  <c r="Q9" i="13"/>
  <c r="N13" i="16"/>
  <c r="Q8" i="13"/>
  <c r="AB8" i="13" s="1"/>
  <c r="N10" i="16"/>
  <c r="L11" i="13"/>
  <c r="N18" i="16"/>
  <c r="N15" i="16"/>
  <c r="N12" i="16"/>
  <c r="L9" i="13"/>
  <c r="M18" i="16"/>
  <c r="M15" i="16"/>
  <c r="M12" i="16"/>
  <c r="K9" i="13"/>
  <c r="V9" i="13" s="1"/>
  <c r="M19" i="16"/>
  <c r="P11" i="13"/>
  <c r="AA11" i="13" s="1"/>
  <c r="M16" i="16"/>
  <c r="P10" i="13"/>
  <c r="AA10" i="13" s="1"/>
  <c r="M13" i="16"/>
  <c r="P9" i="13"/>
  <c r="AA9" i="13" s="1"/>
  <c r="N9" i="16" l="1"/>
  <c r="M9" i="16"/>
  <c r="K8" i="13"/>
  <c r="V8" i="13" s="1"/>
  <c r="Q12" i="11" l="1"/>
  <c r="Q11" i="11"/>
  <c r="Q10" i="11"/>
  <c r="Q9" i="11"/>
  <c r="Q8" i="11"/>
  <c r="Q7" i="11"/>
  <c r="H22" i="2"/>
  <c r="N7" i="7" l="1"/>
  <c r="P7" i="7"/>
  <c r="G13" i="16"/>
  <c r="K10" i="15"/>
  <c r="K11" i="15"/>
  <c r="G19" i="16"/>
  <c r="G18" i="16"/>
  <c r="G16" i="16"/>
  <c r="G15" i="16"/>
  <c r="G12" i="16"/>
  <c r="G10" i="16"/>
  <c r="G9" i="16"/>
  <c r="K15" i="15"/>
  <c r="K14" i="15"/>
  <c r="K13" i="15"/>
  <c r="K12" i="15"/>
  <c r="K9" i="15"/>
  <c r="K8" i="15"/>
  <c r="F19" i="16" l="1"/>
  <c r="M15" i="15"/>
  <c r="H19" i="16" s="1"/>
  <c r="F18" i="16"/>
  <c r="M14" i="15"/>
  <c r="H18" i="16" s="1"/>
  <c r="F16" i="16"/>
  <c r="M13" i="15"/>
  <c r="H16" i="16" s="1"/>
  <c r="F15" i="16"/>
  <c r="M12" i="15"/>
  <c r="H15" i="16" s="1"/>
  <c r="F10" i="16"/>
  <c r="M9" i="15"/>
  <c r="H10" i="16" s="1"/>
  <c r="F9" i="16"/>
  <c r="M8" i="15"/>
  <c r="H9" i="16" s="1"/>
  <c r="F13" i="16"/>
  <c r="M11" i="15"/>
  <c r="H13" i="16" s="1"/>
  <c r="F12" i="16"/>
  <c r="M10" i="15"/>
  <c r="H12" i="16" s="1"/>
  <c r="Y9" i="13" l="1"/>
  <c r="Y10" i="13"/>
  <c r="Y11" i="13"/>
  <c r="Y8" i="13"/>
  <c r="H15" i="15" l="1"/>
  <c r="I15" i="15" s="1"/>
  <c r="H14" i="15"/>
  <c r="I14" i="15" s="1"/>
  <c r="H13" i="15"/>
  <c r="I13" i="15" s="1"/>
  <c r="H12" i="15"/>
  <c r="I12" i="15" s="1"/>
  <c r="H11" i="15"/>
  <c r="I11" i="15" s="1"/>
  <c r="H10" i="15"/>
  <c r="I10" i="15" s="1"/>
  <c r="H9" i="15"/>
  <c r="I9" i="15" s="1"/>
  <c r="H8" i="15"/>
  <c r="I8" i="15" s="1"/>
  <c r="G13" i="15"/>
  <c r="G12" i="15"/>
  <c r="G11" i="15"/>
  <c r="G10" i="15"/>
  <c r="G9" i="15"/>
  <c r="G8" i="15"/>
  <c r="G15" i="15"/>
  <c r="G14" i="15"/>
  <c r="W10" i="13" l="1"/>
  <c r="W11" i="13"/>
  <c r="W9" i="13"/>
  <c r="AB11" i="13"/>
  <c r="AB10" i="13"/>
  <c r="AB9" i="13"/>
  <c r="W8" i="13" l="1"/>
  <c r="N44" i="3"/>
  <c r="O44" i="3" s="1"/>
  <c r="N26" i="3"/>
  <c r="N35" i="3"/>
  <c r="O35" i="3" s="1"/>
  <c r="N40" i="2"/>
  <c r="O40" i="2" s="1"/>
  <c r="N17" i="3"/>
  <c r="O17" i="3" s="1"/>
  <c r="N21" i="2"/>
  <c r="O21" i="2" s="1"/>
  <c r="N43" i="3"/>
  <c r="O43" i="3" s="1"/>
  <c r="N11" i="3"/>
  <c r="O11" i="3" s="1"/>
  <c r="N8" i="3"/>
  <c r="O8" i="3" s="1"/>
  <c r="N7" i="3"/>
  <c r="O7" i="3" s="1"/>
  <c r="N25" i="3"/>
  <c r="O25" i="3" s="1"/>
  <c r="N34" i="3"/>
  <c r="O34" i="3" s="1"/>
  <c r="N12" i="3"/>
  <c r="O12" i="3" s="1"/>
  <c r="N13" i="3"/>
  <c r="O13" i="3" s="1"/>
  <c r="N14" i="3"/>
  <c r="O14" i="3" s="1"/>
  <c r="N15" i="3"/>
  <c r="O15" i="3" s="1"/>
  <c r="N16" i="3"/>
  <c r="O16" i="3" s="1"/>
  <c r="N10" i="3"/>
  <c r="O10" i="3" s="1"/>
  <c r="N9" i="3"/>
  <c r="O9" i="3" s="1"/>
  <c r="N6" i="3"/>
  <c r="O6" i="3" s="1"/>
  <c r="N31" i="2"/>
  <c r="O31" i="2" s="1"/>
  <c r="N30" i="2"/>
  <c r="O30" i="2" s="1"/>
  <c r="O26" i="3" l="1"/>
  <c r="O28" i="3" s="1"/>
  <c r="N39" i="2"/>
  <c r="O39" i="2" s="1"/>
  <c r="N7" i="2"/>
  <c r="O7" i="2" s="1"/>
  <c r="N8" i="2"/>
  <c r="O8" i="2" s="1"/>
  <c r="N9" i="2"/>
  <c r="O9" i="2" s="1"/>
  <c r="N10" i="2"/>
  <c r="O10" i="2" s="1"/>
  <c r="N11" i="2"/>
  <c r="O11" i="2" s="1"/>
  <c r="O6" i="2"/>
  <c r="AI110" i="5"/>
  <c r="AF110" i="5"/>
  <c r="AH110" i="5" s="1"/>
  <c r="Q110" i="5"/>
  <c r="N110" i="5"/>
  <c r="P110" i="5" s="1"/>
  <c r="AI109" i="5"/>
  <c r="AF109" i="5"/>
  <c r="AH109" i="5" s="1"/>
  <c r="Z109" i="5"/>
  <c r="W109" i="5"/>
  <c r="Y109" i="5" s="1"/>
  <c r="Q109" i="5"/>
  <c r="N109" i="5"/>
  <c r="P109" i="5" s="1"/>
  <c r="H109" i="5"/>
  <c r="E109" i="5"/>
  <c r="G109" i="5" s="1"/>
  <c r="AI108" i="5"/>
  <c r="AF108" i="5"/>
  <c r="AH108" i="5" s="1"/>
  <c r="Z108" i="5"/>
  <c r="W108" i="5"/>
  <c r="Y108" i="5" s="1"/>
  <c r="Q108" i="5"/>
  <c r="N108" i="5"/>
  <c r="H108" i="5"/>
  <c r="E108" i="5"/>
  <c r="AI107" i="5"/>
  <c r="AF107" i="5"/>
  <c r="AH107" i="5" s="1"/>
  <c r="Z107" i="5"/>
  <c r="W107" i="5"/>
  <c r="Y107" i="5" s="1"/>
  <c r="Q107" i="5"/>
  <c r="N107" i="5"/>
  <c r="P107" i="5" s="1"/>
  <c r="H107" i="5"/>
  <c r="E107" i="5"/>
  <c r="AI106" i="5"/>
  <c r="AF106" i="5"/>
  <c r="AH106" i="5" s="1"/>
  <c r="Z106" i="5"/>
  <c r="W106" i="5"/>
  <c r="Y106" i="5" s="1"/>
  <c r="Q106" i="5"/>
  <c r="N106" i="5"/>
  <c r="P106" i="5" s="1"/>
  <c r="H106" i="5"/>
  <c r="E106" i="5"/>
  <c r="G106" i="5" s="1"/>
  <c r="AI105" i="5"/>
  <c r="AF105" i="5"/>
  <c r="Z105" i="5"/>
  <c r="W105" i="5"/>
  <c r="Y105" i="5" s="1"/>
  <c r="Q105" i="5"/>
  <c r="N105" i="5"/>
  <c r="P105" i="5" s="1"/>
  <c r="H105" i="5"/>
  <c r="E105" i="5"/>
  <c r="D105" i="5" s="1"/>
  <c r="AI104" i="5"/>
  <c r="AF104" i="5"/>
  <c r="AH104" i="5" s="1"/>
  <c r="Z104" i="5"/>
  <c r="W104" i="5"/>
  <c r="Y104" i="5" s="1"/>
  <c r="Q104" i="5"/>
  <c r="N104" i="5"/>
  <c r="H104" i="5"/>
  <c r="E104" i="5"/>
  <c r="AI103" i="5"/>
  <c r="AF103" i="5"/>
  <c r="AH103" i="5" s="1"/>
  <c r="Z103" i="5"/>
  <c r="W103" i="5"/>
  <c r="Y103" i="5" s="1"/>
  <c r="Q103" i="5"/>
  <c r="N103" i="5"/>
  <c r="H103" i="5"/>
  <c r="E103" i="5"/>
  <c r="G103" i="5" s="1"/>
  <c r="AI102" i="5"/>
  <c r="AF102" i="5"/>
  <c r="AH102" i="5" s="1"/>
  <c r="Z102" i="5"/>
  <c r="W102" i="5"/>
  <c r="Y102" i="5" s="1"/>
  <c r="Q102" i="5"/>
  <c r="N102" i="5"/>
  <c r="P102" i="5" s="1"/>
  <c r="H102" i="5"/>
  <c r="E102" i="5"/>
  <c r="G102" i="5" s="1"/>
  <c r="AI101" i="5"/>
  <c r="AF101" i="5"/>
  <c r="AH101" i="5" s="1"/>
  <c r="Z101" i="5"/>
  <c r="W101" i="5"/>
  <c r="Y101" i="5" s="1"/>
  <c r="Q101" i="5"/>
  <c r="N101" i="5"/>
  <c r="P101" i="5" s="1"/>
  <c r="H101" i="5"/>
  <c r="E101" i="5"/>
  <c r="G101" i="5" s="1"/>
  <c r="AI100" i="5"/>
  <c r="AF100" i="5"/>
  <c r="AH100" i="5" s="1"/>
  <c r="Z100" i="5"/>
  <c r="W100" i="5"/>
  <c r="Y100" i="5" s="1"/>
  <c r="Q100" i="5"/>
  <c r="N100" i="5"/>
  <c r="H100" i="5"/>
  <c r="E100" i="5"/>
  <c r="G100" i="5" s="1"/>
  <c r="AI99" i="5"/>
  <c r="AF99" i="5"/>
  <c r="AH99" i="5" s="1"/>
  <c r="Z99" i="5"/>
  <c r="W99" i="5"/>
  <c r="Y99" i="5" s="1"/>
  <c r="Q99" i="5"/>
  <c r="N99" i="5"/>
  <c r="P99" i="5" s="1"/>
  <c r="H99" i="5"/>
  <c r="E99" i="5"/>
  <c r="D99" i="5" s="1"/>
  <c r="AI98" i="5"/>
  <c r="AF98" i="5"/>
  <c r="AH98" i="5" s="1"/>
  <c r="Z98" i="5"/>
  <c r="W98" i="5"/>
  <c r="Y98" i="5" s="1"/>
  <c r="Q98" i="5"/>
  <c r="N98" i="5"/>
  <c r="P98" i="5" s="1"/>
  <c r="H98" i="5"/>
  <c r="E98" i="5"/>
  <c r="AI97" i="5"/>
  <c r="AF97" i="5"/>
  <c r="AH97" i="5" s="1"/>
  <c r="Z97" i="5"/>
  <c r="W97" i="5"/>
  <c r="Y97" i="5" s="1"/>
  <c r="Q97" i="5"/>
  <c r="N97" i="5"/>
  <c r="H97" i="5"/>
  <c r="E97" i="5"/>
  <c r="G97" i="5" s="1"/>
  <c r="AI96" i="5"/>
  <c r="AF96" i="5"/>
  <c r="AH96" i="5" s="1"/>
  <c r="Z96" i="5"/>
  <c r="W96" i="5"/>
  <c r="Y96" i="5" s="1"/>
  <c r="Q96" i="5"/>
  <c r="N96" i="5"/>
  <c r="H96" i="5"/>
  <c r="E96" i="5"/>
  <c r="G96" i="5" s="1"/>
  <c r="AI95" i="5"/>
  <c r="AF95" i="5"/>
  <c r="AH95" i="5" s="1"/>
  <c r="Z95" i="5"/>
  <c r="W95" i="5"/>
  <c r="Y95" i="5" s="1"/>
  <c r="Q95" i="5"/>
  <c r="N95" i="5"/>
  <c r="H95" i="5"/>
  <c r="E95" i="5"/>
  <c r="G95" i="5" s="1"/>
  <c r="AI94" i="5"/>
  <c r="AF94" i="5"/>
  <c r="AH94" i="5" s="1"/>
  <c r="Z94" i="5"/>
  <c r="W94" i="5"/>
  <c r="Y94" i="5" s="1"/>
  <c r="Q94" i="5"/>
  <c r="N94" i="5"/>
  <c r="P94" i="5" s="1"/>
  <c r="H94" i="5"/>
  <c r="E94" i="5"/>
  <c r="G94" i="5" s="1"/>
  <c r="AI93" i="5"/>
  <c r="AF93" i="5"/>
  <c r="AH93" i="5" s="1"/>
  <c r="Z93" i="5"/>
  <c r="W93" i="5"/>
  <c r="Y93" i="5" s="1"/>
  <c r="Q93" i="5"/>
  <c r="N93" i="5"/>
  <c r="P93" i="5" s="1"/>
  <c r="H93" i="5"/>
  <c r="E93" i="5"/>
  <c r="G93" i="5" s="1"/>
  <c r="AI92" i="5"/>
  <c r="AF92" i="5"/>
  <c r="AH92" i="5" s="1"/>
  <c r="Z92" i="5"/>
  <c r="W92" i="5"/>
  <c r="Y92" i="5" s="1"/>
  <c r="Q92" i="5"/>
  <c r="N92" i="5"/>
  <c r="H92" i="5"/>
  <c r="E92" i="5"/>
  <c r="AI91" i="5"/>
  <c r="AF91" i="5"/>
  <c r="AH91" i="5" s="1"/>
  <c r="Z91" i="5"/>
  <c r="W91" i="5"/>
  <c r="Y91" i="5" s="1"/>
  <c r="Q91" i="5"/>
  <c r="N91" i="5"/>
  <c r="P91" i="5" s="1"/>
  <c r="H91" i="5"/>
  <c r="E91" i="5"/>
  <c r="G91" i="5" s="1"/>
  <c r="AI90" i="5"/>
  <c r="AF90" i="5"/>
  <c r="AH90" i="5" s="1"/>
  <c r="Z90" i="5"/>
  <c r="W90" i="5"/>
  <c r="Y90" i="5" s="1"/>
  <c r="Q90" i="5"/>
  <c r="N90" i="5"/>
  <c r="P90" i="5" s="1"/>
  <c r="H90" i="5"/>
  <c r="E90" i="5"/>
  <c r="G90" i="5" s="1"/>
  <c r="AI89" i="5"/>
  <c r="AF89" i="5"/>
  <c r="Z89" i="5"/>
  <c r="W89" i="5"/>
  <c r="Y89" i="5" s="1"/>
  <c r="Q89" i="5"/>
  <c r="N89" i="5"/>
  <c r="P89" i="5" s="1"/>
  <c r="H89" i="5"/>
  <c r="E89" i="5"/>
  <c r="G89" i="5" s="1"/>
  <c r="AI88" i="5"/>
  <c r="AF88" i="5"/>
  <c r="AH88" i="5" s="1"/>
  <c r="Z88" i="5"/>
  <c r="W88" i="5"/>
  <c r="Y88" i="5" s="1"/>
  <c r="Q88" i="5"/>
  <c r="N88" i="5"/>
  <c r="H88" i="5"/>
  <c r="E88" i="5"/>
  <c r="AI87" i="5"/>
  <c r="AF87" i="5"/>
  <c r="AH87" i="5" s="1"/>
  <c r="Z87" i="5"/>
  <c r="W87" i="5"/>
  <c r="Y87" i="5" s="1"/>
  <c r="Q87" i="5"/>
  <c r="N87" i="5"/>
  <c r="H87" i="5"/>
  <c r="E87" i="5"/>
  <c r="G87" i="5" s="1"/>
  <c r="AI86" i="5"/>
  <c r="AF86" i="5"/>
  <c r="AH86" i="5" s="1"/>
  <c r="Z86" i="5"/>
  <c r="W86" i="5"/>
  <c r="Y86" i="5" s="1"/>
  <c r="Q86" i="5"/>
  <c r="N86" i="5"/>
  <c r="P86" i="5" s="1"/>
  <c r="H86" i="5"/>
  <c r="E86" i="5"/>
  <c r="G86" i="5" s="1"/>
  <c r="AI85" i="5"/>
  <c r="AF85" i="5"/>
  <c r="AH85" i="5" s="1"/>
  <c r="Z85" i="5"/>
  <c r="W85" i="5"/>
  <c r="Y85" i="5" s="1"/>
  <c r="Q85" i="5"/>
  <c r="N85" i="5"/>
  <c r="H85" i="5"/>
  <c r="E85" i="5"/>
  <c r="G85" i="5" s="1"/>
  <c r="AI84" i="5"/>
  <c r="AF84" i="5"/>
  <c r="AH84" i="5" s="1"/>
  <c r="Z84" i="5"/>
  <c r="W84" i="5"/>
  <c r="Y84" i="5" s="1"/>
  <c r="Q84" i="5"/>
  <c r="N84" i="5"/>
  <c r="H84" i="5"/>
  <c r="E84" i="5"/>
  <c r="G84" i="5" s="1"/>
  <c r="AI83" i="5"/>
  <c r="AF83" i="5"/>
  <c r="AH83" i="5" s="1"/>
  <c r="Z83" i="5"/>
  <c r="W83" i="5"/>
  <c r="Y83" i="5" s="1"/>
  <c r="Q83" i="5"/>
  <c r="N83" i="5"/>
  <c r="P83" i="5" s="1"/>
  <c r="H83" i="5"/>
  <c r="E83" i="5"/>
  <c r="G83" i="5" s="1"/>
  <c r="AI82" i="5"/>
  <c r="AF82" i="5"/>
  <c r="AH82" i="5" s="1"/>
  <c r="Z82" i="5"/>
  <c r="W82" i="5"/>
  <c r="Y82" i="5" s="1"/>
  <c r="Q82" i="5"/>
  <c r="N82" i="5"/>
  <c r="P82" i="5" s="1"/>
  <c r="H82" i="5"/>
  <c r="E82" i="5"/>
  <c r="G82" i="5" s="1"/>
  <c r="AI81" i="5"/>
  <c r="AF81" i="5"/>
  <c r="Z81" i="5"/>
  <c r="W81" i="5"/>
  <c r="Y81" i="5" s="1"/>
  <c r="Q81" i="5"/>
  <c r="N81" i="5"/>
  <c r="P81" i="5" s="1"/>
  <c r="H81" i="5"/>
  <c r="E81" i="5"/>
  <c r="G81" i="5" s="1"/>
  <c r="AI80" i="5"/>
  <c r="AF80" i="5"/>
  <c r="Z80" i="5"/>
  <c r="W80" i="5"/>
  <c r="Q80" i="5"/>
  <c r="N80" i="5"/>
  <c r="H80" i="5"/>
  <c r="E80" i="5"/>
  <c r="G80" i="5" s="1"/>
  <c r="AI74" i="5"/>
  <c r="AF74" i="5"/>
  <c r="Z74" i="5"/>
  <c r="W74" i="5"/>
  <c r="Y74" i="5" s="1"/>
  <c r="H74" i="5"/>
  <c r="E74" i="5"/>
  <c r="G74" i="5" s="1"/>
  <c r="AI73" i="5"/>
  <c r="AF73" i="5"/>
  <c r="Z73" i="5"/>
  <c r="W73" i="5"/>
  <c r="Q73" i="5"/>
  <c r="N73" i="5"/>
  <c r="P73" i="5" s="1"/>
  <c r="H73" i="5"/>
  <c r="E73" i="5"/>
  <c r="AI72" i="5"/>
  <c r="AF72" i="5"/>
  <c r="Z72" i="5"/>
  <c r="W72" i="5"/>
  <c r="Y72" i="5" s="1"/>
  <c r="Q72" i="5"/>
  <c r="N72" i="5"/>
  <c r="P72" i="5" s="1"/>
  <c r="H72" i="5"/>
  <c r="E72" i="5"/>
  <c r="AI71" i="5"/>
  <c r="AF71" i="5"/>
  <c r="AH71" i="5" s="1"/>
  <c r="Z71" i="5"/>
  <c r="W71" i="5"/>
  <c r="Y71" i="5" s="1"/>
  <c r="Q71" i="5"/>
  <c r="N71" i="5"/>
  <c r="P71" i="5" s="1"/>
  <c r="H71" i="5"/>
  <c r="E71" i="5"/>
  <c r="G71" i="5" s="1"/>
  <c r="AI70" i="5"/>
  <c r="AF70" i="5"/>
  <c r="AH70" i="5" s="1"/>
  <c r="Z70" i="5"/>
  <c r="W70" i="5"/>
  <c r="Y70" i="5" s="1"/>
  <c r="Q70" i="5"/>
  <c r="N70" i="5"/>
  <c r="P70" i="5" s="1"/>
  <c r="H70" i="5"/>
  <c r="E70" i="5"/>
  <c r="G70" i="5" s="1"/>
  <c r="AI69" i="5"/>
  <c r="AF69" i="5"/>
  <c r="AH69" i="5" s="1"/>
  <c r="Z69" i="5"/>
  <c r="W69" i="5"/>
  <c r="Q69" i="5"/>
  <c r="N69" i="5"/>
  <c r="P69" i="5" s="1"/>
  <c r="H69" i="5"/>
  <c r="E69" i="5"/>
  <c r="AI68" i="5"/>
  <c r="AF68" i="5"/>
  <c r="Z68" i="5"/>
  <c r="W68" i="5"/>
  <c r="Y68" i="5" s="1"/>
  <c r="Q68" i="5"/>
  <c r="N68" i="5"/>
  <c r="P68" i="5" s="1"/>
  <c r="H68" i="5"/>
  <c r="E68" i="5"/>
  <c r="AI67" i="5"/>
  <c r="AF67" i="5"/>
  <c r="AH67" i="5" s="1"/>
  <c r="Z67" i="5"/>
  <c r="W67" i="5"/>
  <c r="Y67" i="5" s="1"/>
  <c r="Q67" i="5"/>
  <c r="N67" i="5"/>
  <c r="P67" i="5" s="1"/>
  <c r="H67" i="5"/>
  <c r="E67" i="5"/>
  <c r="G67" i="5" s="1"/>
  <c r="AI66" i="5"/>
  <c r="AF66" i="5"/>
  <c r="Z66" i="5"/>
  <c r="W66" i="5"/>
  <c r="Y66" i="5" s="1"/>
  <c r="Q66" i="5"/>
  <c r="N66" i="5"/>
  <c r="P66" i="5" s="1"/>
  <c r="H66" i="5"/>
  <c r="E66" i="5"/>
  <c r="G66" i="5" s="1"/>
  <c r="AI65" i="5"/>
  <c r="AF65" i="5"/>
  <c r="AH65" i="5" s="1"/>
  <c r="Z65" i="5"/>
  <c r="W65" i="5"/>
  <c r="Y65" i="5" s="1"/>
  <c r="Q65" i="5"/>
  <c r="N65" i="5"/>
  <c r="P65" i="5" s="1"/>
  <c r="H65" i="5"/>
  <c r="E65" i="5"/>
  <c r="G65" i="5" s="1"/>
  <c r="AI64" i="5"/>
  <c r="AF64" i="5"/>
  <c r="AH64" i="5" s="1"/>
  <c r="Z64" i="5"/>
  <c r="W64" i="5"/>
  <c r="Q64" i="5"/>
  <c r="N64" i="5"/>
  <c r="P64" i="5" s="1"/>
  <c r="H64" i="5"/>
  <c r="E64" i="5"/>
  <c r="AI63" i="5"/>
  <c r="AF63" i="5"/>
  <c r="AH63" i="5" s="1"/>
  <c r="Z63" i="5"/>
  <c r="W63" i="5"/>
  <c r="Y63" i="5" s="1"/>
  <c r="Q63" i="5"/>
  <c r="N63" i="5"/>
  <c r="P63" i="5" s="1"/>
  <c r="H63" i="5"/>
  <c r="E63" i="5"/>
  <c r="G63" i="5" s="1"/>
  <c r="AI62" i="5"/>
  <c r="AF62" i="5"/>
  <c r="AH62" i="5" s="1"/>
  <c r="Z62" i="5"/>
  <c r="W62" i="5"/>
  <c r="Y62" i="5" s="1"/>
  <c r="Q62" i="5"/>
  <c r="N62" i="5"/>
  <c r="P62" i="5" s="1"/>
  <c r="H62" i="5"/>
  <c r="E62" i="5"/>
  <c r="G62" i="5" s="1"/>
  <c r="AI61" i="5"/>
  <c r="AF61" i="5"/>
  <c r="AH61" i="5" s="1"/>
  <c r="Z61" i="5"/>
  <c r="W61" i="5"/>
  <c r="Q61" i="5"/>
  <c r="N61" i="5"/>
  <c r="P61" i="5" s="1"/>
  <c r="H61" i="5"/>
  <c r="E61" i="5"/>
  <c r="AI60" i="5"/>
  <c r="AF60" i="5"/>
  <c r="AH60" i="5" s="1"/>
  <c r="Z60" i="5"/>
  <c r="W60" i="5"/>
  <c r="Y60" i="5" s="1"/>
  <c r="Q60" i="5"/>
  <c r="N60" i="5"/>
  <c r="P60" i="5" s="1"/>
  <c r="H60" i="5"/>
  <c r="E60" i="5"/>
  <c r="AI59" i="5"/>
  <c r="AF59" i="5"/>
  <c r="AH59" i="5" s="1"/>
  <c r="Z59" i="5"/>
  <c r="W59" i="5"/>
  <c r="Y59" i="5" s="1"/>
  <c r="Q59" i="5"/>
  <c r="N59" i="5"/>
  <c r="P59" i="5" s="1"/>
  <c r="H59" i="5"/>
  <c r="E59" i="5"/>
  <c r="AI58" i="5"/>
  <c r="AF58" i="5"/>
  <c r="Z58" i="5"/>
  <c r="W58" i="5"/>
  <c r="Y58" i="5" s="1"/>
  <c r="Q58" i="5"/>
  <c r="N58" i="5"/>
  <c r="P58" i="5" s="1"/>
  <c r="H58" i="5"/>
  <c r="E58" i="5"/>
  <c r="G58" i="5" s="1"/>
  <c r="AI57" i="5"/>
  <c r="AF57" i="5"/>
  <c r="AH57" i="5" s="1"/>
  <c r="Z57" i="5"/>
  <c r="W57" i="5"/>
  <c r="Q57" i="5"/>
  <c r="N57" i="5"/>
  <c r="P57" i="5" s="1"/>
  <c r="H57" i="5"/>
  <c r="E57" i="5"/>
  <c r="D57" i="5" s="1"/>
  <c r="AI56" i="5"/>
  <c r="AF56" i="5"/>
  <c r="AH56" i="5" s="1"/>
  <c r="Z56" i="5"/>
  <c r="W56" i="5"/>
  <c r="Y56" i="5" s="1"/>
  <c r="Q56" i="5"/>
  <c r="N56" i="5"/>
  <c r="P56" i="5" s="1"/>
  <c r="H56" i="5"/>
  <c r="E56" i="5"/>
  <c r="G56" i="5" s="1"/>
  <c r="AI55" i="5"/>
  <c r="AF55" i="5"/>
  <c r="AH55" i="5" s="1"/>
  <c r="Z55" i="5"/>
  <c r="W55" i="5"/>
  <c r="Q55" i="5"/>
  <c r="N55" i="5"/>
  <c r="P55" i="5" s="1"/>
  <c r="H55" i="5"/>
  <c r="E55" i="5"/>
  <c r="AI54" i="5"/>
  <c r="AF54" i="5"/>
  <c r="AH54" i="5" s="1"/>
  <c r="Z54" i="5"/>
  <c r="W54" i="5"/>
  <c r="Y54" i="5" s="1"/>
  <c r="Q54" i="5"/>
  <c r="N54" i="5"/>
  <c r="P54" i="5" s="1"/>
  <c r="H54" i="5"/>
  <c r="E54" i="5"/>
  <c r="AI53" i="5"/>
  <c r="AF53" i="5"/>
  <c r="AH53" i="5" s="1"/>
  <c r="Z53" i="5"/>
  <c r="W53" i="5"/>
  <c r="Y53" i="5" s="1"/>
  <c r="Q53" i="5"/>
  <c r="N53" i="5"/>
  <c r="P53" i="5" s="1"/>
  <c r="H53" i="5"/>
  <c r="E53" i="5"/>
  <c r="G53" i="5" s="1"/>
  <c r="AI52" i="5"/>
  <c r="AF52" i="5"/>
  <c r="AH52" i="5" s="1"/>
  <c r="Z52" i="5"/>
  <c r="W52" i="5"/>
  <c r="Y52" i="5" s="1"/>
  <c r="Q52" i="5"/>
  <c r="N52" i="5"/>
  <c r="P52" i="5" s="1"/>
  <c r="H52" i="5"/>
  <c r="E52" i="5"/>
  <c r="AI51" i="5"/>
  <c r="AF51" i="5"/>
  <c r="AH51" i="5" s="1"/>
  <c r="Z51" i="5"/>
  <c r="W51" i="5"/>
  <c r="Y51" i="5" s="1"/>
  <c r="Q51" i="5"/>
  <c r="N51" i="5"/>
  <c r="P51" i="5" s="1"/>
  <c r="H51" i="5"/>
  <c r="E51" i="5"/>
  <c r="AI50" i="5"/>
  <c r="AF50" i="5"/>
  <c r="AH50" i="5" s="1"/>
  <c r="Z50" i="5"/>
  <c r="W50" i="5"/>
  <c r="Y50" i="5" s="1"/>
  <c r="Q50" i="5"/>
  <c r="N50" i="5"/>
  <c r="P50" i="5" s="1"/>
  <c r="H50" i="5"/>
  <c r="E50" i="5"/>
  <c r="G50" i="5" s="1"/>
  <c r="AI49" i="5"/>
  <c r="AF49" i="5"/>
  <c r="AH49" i="5" s="1"/>
  <c r="Z49" i="5"/>
  <c r="W49" i="5"/>
  <c r="Y49" i="5" s="1"/>
  <c r="Q49" i="5"/>
  <c r="N49" i="5"/>
  <c r="P49" i="5" s="1"/>
  <c r="H49" i="5"/>
  <c r="E49" i="5"/>
  <c r="AI48" i="5"/>
  <c r="AF48" i="5"/>
  <c r="AH48" i="5" s="1"/>
  <c r="Z48" i="5"/>
  <c r="W48" i="5"/>
  <c r="Y48" i="5" s="1"/>
  <c r="Q48" i="5"/>
  <c r="N48" i="5"/>
  <c r="P48" i="5" s="1"/>
  <c r="H48" i="5"/>
  <c r="E48" i="5"/>
  <c r="G48" i="5" s="1"/>
  <c r="AI47" i="5"/>
  <c r="AF47" i="5"/>
  <c r="AH47" i="5" s="1"/>
  <c r="Z47" i="5"/>
  <c r="W47" i="5"/>
  <c r="Y47" i="5" s="1"/>
  <c r="Q47" i="5"/>
  <c r="N47" i="5"/>
  <c r="P47" i="5" s="1"/>
  <c r="H47" i="5"/>
  <c r="E47" i="5"/>
  <c r="AI46" i="5"/>
  <c r="AF46" i="5"/>
  <c r="AH46" i="5" s="1"/>
  <c r="Z46" i="5"/>
  <c r="W46" i="5"/>
  <c r="Q46" i="5"/>
  <c r="N46" i="5"/>
  <c r="P46" i="5" s="1"/>
  <c r="H46" i="5"/>
  <c r="E46" i="5"/>
  <c r="AI45" i="5"/>
  <c r="AF45" i="5"/>
  <c r="AH45" i="5" s="1"/>
  <c r="Z45" i="5"/>
  <c r="W45" i="5"/>
  <c r="Y45" i="5" s="1"/>
  <c r="Q45" i="5"/>
  <c r="N45" i="5"/>
  <c r="P45" i="5" s="1"/>
  <c r="H45" i="5"/>
  <c r="E45" i="5"/>
  <c r="G45" i="5" s="1"/>
  <c r="AI44" i="5"/>
  <c r="AF44" i="5"/>
  <c r="Z44" i="5"/>
  <c r="W44" i="5"/>
  <c r="Y44" i="5" s="1"/>
  <c r="Q44" i="5"/>
  <c r="N44" i="5"/>
  <c r="H44" i="5"/>
  <c r="E44" i="5"/>
  <c r="D44" i="5" s="1"/>
  <c r="Z38" i="5"/>
  <c r="W38" i="5"/>
  <c r="Y38" i="5" s="1"/>
  <c r="H38" i="5"/>
  <c r="E38" i="5"/>
  <c r="G38" i="5" s="1"/>
  <c r="AI37" i="5"/>
  <c r="AF37" i="5"/>
  <c r="AH37" i="5" s="1"/>
  <c r="Z37" i="5"/>
  <c r="W37" i="5"/>
  <c r="Y37" i="5" s="1"/>
  <c r="H37" i="5"/>
  <c r="E37" i="5"/>
  <c r="G37" i="5" s="1"/>
  <c r="AI36" i="5"/>
  <c r="AF36" i="5"/>
  <c r="AE36" i="5" s="1"/>
  <c r="Z36" i="5"/>
  <c r="W36" i="5"/>
  <c r="H36" i="5"/>
  <c r="E36" i="5"/>
  <c r="G36" i="5" s="1"/>
  <c r="AI35" i="5"/>
  <c r="AF35" i="5"/>
  <c r="AH35" i="5" s="1"/>
  <c r="Z35" i="5"/>
  <c r="W35" i="5"/>
  <c r="Y35" i="5" s="1"/>
  <c r="Q35" i="5"/>
  <c r="N35" i="5"/>
  <c r="P35" i="5" s="1"/>
  <c r="H35" i="5"/>
  <c r="E35" i="5"/>
  <c r="AI34" i="5"/>
  <c r="AF34" i="5"/>
  <c r="Z34" i="5"/>
  <c r="W34" i="5"/>
  <c r="Y34" i="5" s="1"/>
  <c r="Q34" i="5"/>
  <c r="N34" i="5"/>
  <c r="P34" i="5" s="1"/>
  <c r="H34" i="5"/>
  <c r="E34" i="5"/>
  <c r="AI33" i="5"/>
  <c r="AF33" i="5"/>
  <c r="Z33" i="5"/>
  <c r="W33" i="5"/>
  <c r="Y33" i="5" s="1"/>
  <c r="Q33" i="5"/>
  <c r="N33" i="5"/>
  <c r="P33" i="5" s="1"/>
  <c r="H33" i="5"/>
  <c r="E33" i="5"/>
  <c r="G33" i="5" s="1"/>
  <c r="AI32" i="5"/>
  <c r="AF32" i="5"/>
  <c r="AH32" i="5" s="1"/>
  <c r="Z32" i="5"/>
  <c r="W32" i="5"/>
  <c r="V32" i="5" s="1"/>
  <c r="Q32" i="5"/>
  <c r="N32" i="5"/>
  <c r="P32" i="5" s="1"/>
  <c r="H32" i="5"/>
  <c r="E32" i="5"/>
  <c r="AI31" i="5"/>
  <c r="AF31" i="5"/>
  <c r="AH31" i="5" s="1"/>
  <c r="Z31" i="5"/>
  <c r="W31" i="5"/>
  <c r="Y31" i="5" s="1"/>
  <c r="Q31" i="5"/>
  <c r="N31" i="5"/>
  <c r="P31" i="5" s="1"/>
  <c r="H31" i="5"/>
  <c r="E31" i="5"/>
  <c r="AI30" i="5"/>
  <c r="AF30" i="5"/>
  <c r="Z30" i="5"/>
  <c r="W30" i="5"/>
  <c r="Y30" i="5" s="1"/>
  <c r="Q30" i="5"/>
  <c r="N30" i="5"/>
  <c r="P30" i="5" s="1"/>
  <c r="H30" i="5"/>
  <c r="E30" i="5"/>
  <c r="AI29" i="5"/>
  <c r="AF29" i="5"/>
  <c r="AH29" i="5" s="1"/>
  <c r="Z29" i="5"/>
  <c r="W29" i="5"/>
  <c r="Y29" i="5" s="1"/>
  <c r="Q29" i="5"/>
  <c r="N29" i="5"/>
  <c r="P29" i="5" s="1"/>
  <c r="H29" i="5"/>
  <c r="E29" i="5"/>
  <c r="G29" i="5" s="1"/>
  <c r="AI28" i="5"/>
  <c r="AF28" i="5"/>
  <c r="Z28" i="5"/>
  <c r="W28" i="5"/>
  <c r="Q28" i="5"/>
  <c r="N28" i="5"/>
  <c r="P28" i="5" s="1"/>
  <c r="H28" i="5"/>
  <c r="E28" i="5"/>
  <c r="G28" i="5" s="1"/>
  <c r="AI27" i="5"/>
  <c r="AF27" i="5"/>
  <c r="AH27" i="5" s="1"/>
  <c r="Z27" i="5"/>
  <c r="W27" i="5"/>
  <c r="Y27" i="5" s="1"/>
  <c r="Q27" i="5"/>
  <c r="N27" i="5"/>
  <c r="P27" i="5" s="1"/>
  <c r="H27" i="5"/>
  <c r="E27" i="5"/>
  <c r="AI26" i="5"/>
  <c r="AF26" i="5"/>
  <c r="AH26" i="5" s="1"/>
  <c r="Z26" i="5"/>
  <c r="W26" i="5"/>
  <c r="Y26" i="5" s="1"/>
  <c r="Q26" i="5"/>
  <c r="N26" i="5"/>
  <c r="P26" i="5" s="1"/>
  <c r="H26" i="5"/>
  <c r="E26" i="5"/>
  <c r="G26" i="5" s="1"/>
  <c r="AI25" i="5"/>
  <c r="AF25" i="5"/>
  <c r="AH25" i="5" s="1"/>
  <c r="Z25" i="5"/>
  <c r="W25" i="5"/>
  <c r="Y25" i="5" s="1"/>
  <c r="Q25" i="5"/>
  <c r="N25" i="5"/>
  <c r="P25" i="5" s="1"/>
  <c r="H25" i="5"/>
  <c r="E25" i="5"/>
  <c r="G25" i="5" s="1"/>
  <c r="AI24" i="5"/>
  <c r="AF24" i="5"/>
  <c r="AH24" i="5" s="1"/>
  <c r="Z24" i="5"/>
  <c r="W24" i="5"/>
  <c r="Y24" i="5" s="1"/>
  <c r="Q24" i="5"/>
  <c r="N24" i="5"/>
  <c r="P24" i="5" s="1"/>
  <c r="H24" i="5"/>
  <c r="E24" i="5"/>
  <c r="G24" i="5" s="1"/>
  <c r="AI23" i="5"/>
  <c r="AF23" i="5"/>
  <c r="AH23" i="5" s="1"/>
  <c r="Z23" i="5"/>
  <c r="W23" i="5"/>
  <c r="Q23" i="5"/>
  <c r="N23" i="5"/>
  <c r="P23" i="5" s="1"/>
  <c r="H23" i="5"/>
  <c r="E23" i="5"/>
  <c r="AI22" i="5"/>
  <c r="AF22" i="5"/>
  <c r="AE22" i="5" s="1"/>
  <c r="Z22" i="5"/>
  <c r="W22" i="5"/>
  <c r="Y22" i="5" s="1"/>
  <c r="Q22" i="5"/>
  <c r="N22" i="5"/>
  <c r="P22" i="5" s="1"/>
  <c r="H22" i="5"/>
  <c r="E22" i="5"/>
  <c r="AI21" i="5"/>
  <c r="AF21" i="5"/>
  <c r="AH21" i="5" s="1"/>
  <c r="Z21" i="5"/>
  <c r="W21" i="5"/>
  <c r="Q21" i="5"/>
  <c r="N21" i="5"/>
  <c r="P21" i="5" s="1"/>
  <c r="H21" i="5"/>
  <c r="E21" i="5"/>
  <c r="G21" i="5" s="1"/>
  <c r="AI20" i="5"/>
  <c r="AF20" i="5"/>
  <c r="Z20" i="5"/>
  <c r="W20" i="5"/>
  <c r="Y20" i="5" s="1"/>
  <c r="Q20" i="5"/>
  <c r="N20" i="5"/>
  <c r="P20" i="5" s="1"/>
  <c r="H20" i="5"/>
  <c r="E20" i="5"/>
  <c r="G20" i="5" s="1"/>
  <c r="AI19" i="5"/>
  <c r="AF19" i="5"/>
  <c r="AH19" i="5" s="1"/>
  <c r="Z19" i="5"/>
  <c r="W19" i="5"/>
  <c r="Y19" i="5" s="1"/>
  <c r="Q19" i="5"/>
  <c r="P19" i="5"/>
  <c r="N19" i="5"/>
  <c r="H19" i="5"/>
  <c r="E19" i="5"/>
  <c r="AI18" i="5"/>
  <c r="AF18" i="5"/>
  <c r="AH18" i="5" s="1"/>
  <c r="Z18" i="5"/>
  <c r="W18" i="5"/>
  <c r="Y18" i="5" s="1"/>
  <c r="Q18" i="5"/>
  <c r="N18" i="5"/>
  <c r="P18" i="5" s="1"/>
  <c r="H18" i="5"/>
  <c r="E18" i="5"/>
  <c r="G18" i="5" s="1"/>
  <c r="AI17" i="5"/>
  <c r="AF17" i="5"/>
  <c r="AH17" i="5" s="1"/>
  <c r="Z17" i="5"/>
  <c r="W17" i="5"/>
  <c r="Y17" i="5" s="1"/>
  <c r="Q17" i="5"/>
  <c r="N17" i="5"/>
  <c r="H17" i="5"/>
  <c r="E17" i="5"/>
  <c r="AI16" i="5"/>
  <c r="AF16" i="5"/>
  <c r="AH16" i="5" s="1"/>
  <c r="Z16" i="5"/>
  <c r="W16" i="5"/>
  <c r="Y16" i="5" s="1"/>
  <c r="Q16" i="5"/>
  <c r="N16" i="5"/>
  <c r="P16" i="5" s="1"/>
  <c r="H16" i="5"/>
  <c r="E16" i="5"/>
  <c r="G16" i="5" s="1"/>
  <c r="AI15" i="5"/>
  <c r="AF15" i="5"/>
  <c r="AH15" i="5" s="1"/>
  <c r="Z15" i="5"/>
  <c r="W15" i="5"/>
  <c r="Y15" i="5" s="1"/>
  <c r="Q15" i="5"/>
  <c r="N15" i="5"/>
  <c r="P15" i="5" s="1"/>
  <c r="H15" i="5"/>
  <c r="E15" i="5"/>
  <c r="G15" i="5" s="1"/>
  <c r="AI14" i="5"/>
  <c r="AF14" i="5"/>
  <c r="AH14" i="5" s="1"/>
  <c r="Z14" i="5"/>
  <c r="W14" i="5"/>
  <c r="Y14" i="5" s="1"/>
  <c r="Q14" i="5"/>
  <c r="N14" i="5"/>
  <c r="P14" i="5" s="1"/>
  <c r="H14" i="5"/>
  <c r="E14" i="5"/>
  <c r="G14" i="5" s="1"/>
  <c r="AI13" i="5"/>
  <c r="AF13" i="5"/>
  <c r="AH13" i="5" s="1"/>
  <c r="Z13" i="5"/>
  <c r="W13" i="5"/>
  <c r="Y13" i="5" s="1"/>
  <c r="Q13" i="5"/>
  <c r="N13" i="5"/>
  <c r="P13" i="5" s="1"/>
  <c r="H13" i="5"/>
  <c r="E13" i="5"/>
  <c r="G13" i="5" s="1"/>
  <c r="AI12" i="5"/>
  <c r="AF12" i="5"/>
  <c r="AH12" i="5" s="1"/>
  <c r="Z12" i="5"/>
  <c r="W12" i="5"/>
  <c r="Q12" i="5"/>
  <c r="N12" i="5"/>
  <c r="P12" i="5" s="1"/>
  <c r="H12" i="5"/>
  <c r="E12" i="5"/>
  <c r="G12" i="5" s="1"/>
  <c r="AI11" i="5"/>
  <c r="AF11" i="5"/>
  <c r="AH11" i="5" s="1"/>
  <c r="Z11" i="5"/>
  <c r="W11" i="5"/>
  <c r="Y11" i="5" s="1"/>
  <c r="Q11" i="5"/>
  <c r="N11" i="5"/>
  <c r="P11" i="5" s="1"/>
  <c r="H11" i="5"/>
  <c r="E11" i="5"/>
  <c r="G11" i="5" s="1"/>
  <c r="AI10" i="5"/>
  <c r="AF10" i="5"/>
  <c r="Z10" i="5"/>
  <c r="W10" i="5"/>
  <c r="Y10" i="5" s="1"/>
  <c r="Q10" i="5"/>
  <c r="N10" i="5"/>
  <c r="P10" i="5" s="1"/>
  <c r="H10" i="5"/>
  <c r="E10" i="5"/>
  <c r="G10" i="5" s="1"/>
  <c r="AI9" i="5"/>
  <c r="AF9" i="5"/>
  <c r="AH9" i="5" s="1"/>
  <c r="Z9" i="5"/>
  <c r="W9" i="5"/>
  <c r="Y9" i="5" s="1"/>
  <c r="Q9" i="5"/>
  <c r="N9" i="5"/>
  <c r="P9" i="5" s="1"/>
  <c r="H9" i="5"/>
  <c r="E9" i="5"/>
  <c r="G9" i="5" s="1"/>
  <c r="AE8" i="5"/>
  <c r="Z8" i="5"/>
  <c r="W8" i="5"/>
  <c r="Q8" i="5"/>
  <c r="N8" i="5"/>
  <c r="G8" i="5"/>
  <c r="I44" i="3"/>
  <c r="J44" i="3" s="1"/>
  <c r="K44" i="3" s="1"/>
  <c r="I43" i="3"/>
  <c r="J43" i="3" s="1"/>
  <c r="K43" i="3" s="1"/>
  <c r="I43" i="12" s="1"/>
  <c r="H35" i="3"/>
  <c r="I35" i="3" s="1"/>
  <c r="J35" i="3" s="1"/>
  <c r="K35" i="3" s="1"/>
  <c r="I34" i="3"/>
  <c r="J34" i="3" s="1"/>
  <c r="K34" i="3" s="1"/>
  <c r="H26" i="3"/>
  <c r="I26" i="3" s="1"/>
  <c r="J26" i="3" s="1"/>
  <c r="K26" i="3" s="1"/>
  <c r="L26" i="3" s="1"/>
  <c r="I25" i="3"/>
  <c r="J25" i="3" s="1"/>
  <c r="K25" i="3" s="1"/>
  <c r="I17" i="3"/>
  <c r="J17" i="3" s="1"/>
  <c r="K17" i="3" s="1"/>
  <c r="I16" i="3"/>
  <c r="J16" i="3" s="1"/>
  <c r="K16" i="3" s="1"/>
  <c r="I15" i="3"/>
  <c r="J15" i="3" s="1"/>
  <c r="K15" i="3" s="1"/>
  <c r="I14" i="3"/>
  <c r="J14" i="3" s="1"/>
  <c r="K14" i="3" s="1"/>
  <c r="I13" i="3"/>
  <c r="J13" i="3" s="1"/>
  <c r="K13" i="3" s="1"/>
  <c r="I12" i="3"/>
  <c r="J12" i="3" s="1"/>
  <c r="K12" i="3" s="1"/>
  <c r="I11" i="3"/>
  <c r="J11" i="3" s="1"/>
  <c r="K11" i="3" s="1"/>
  <c r="I10" i="3"/>
  <c r="J10" i="3" s="1"/>
  <c r="K10" i="3" s="1"/>
  <c r="I9" i="3"/>
  <c r="J9" i="3" s="1"/>
  <c r="K9" i="3" s="1"/>
  <c r="I8" i="3"/>
  <c r="J8" i="3" s="1"/>
  <c r="K8" i="3" s="1"/>
  <c r="I7" i="3"/>
  <c r="J7" i="3" s="1"/>
  <c r="K7" i="3" s="1"/>
  <c r="I6" i="3"/>
  <c r="J6" i="3" s="1"/>
  <c r="K6" i="3" s="1"/>
  <c r="I40" i="2"/>
  <c r="J40" i="2" s="1"/>
  <c r="K40" i="2" s="1"/>
  <c r="I39" i="2"/>
  <c r="J39" i="2" s="1"/>
  <c r="K39" i="2" s="1"/>
  <c r="I39" i="9" s="1"/>
  <c r="L39" i="9" s="1"/>
  <c r="H31" i="2"/>
  <c r="I31" i="2" s="1"/>
  <c r="J31" i="2" s="1"/>
  <c r="K31" i="2" s="1"/>
  <c r="L31" i="2" s="1"/>
  <c r="I30" i="2"/>
  <c r="J30" i="2" s="1"/>
  <c r="K30" i="2" s="1"/>
  <c r="I22" i="2"/>
  <c r="J22" i="2" s="1"/>
  <c r="K22" i="2" s="1"/>
  <c r="I21" i="2"/>
  <c r="J21" i="2" s="1"/>
  <c r="K21" i="2" s="1"/>
  <c r="N13" i="2"/>
  <c r="O13" i="2" s="1"/>
  <c r="I13" i="2"/>
  <c r="J13" i="2" s="1"/>
  <c r="K13" i="2" s="1"/>
  <c r="L12" i="9"/>
  <c r="I11" i="2"/>
  <c r="J11" i="2" s="1"/>
  <c r="K11" i="2" s="1"/>
  <c r="L11" i="9" s="1"/>
  <c r="I10" i="2"/>
  <c r="J10" i="2" s="1"/>
  <c r="K10" i="2" s="1"/>
  <c r="L10" i="9" s="1"/>
  <c r="I9" i="2"/>
  <c r="J9" i="2" s="1"/>
  <c r="K9" i="2" s="1"/>
  <c r="L9" i="9" s="1"/>
  <c r="I8" i="2"/>
  <c r="J8" i="2" s="1"/>
  <c r="K8" i="2" s="1"/>
  <c r="L8" i="9" s="1"/>
  <c r="I7" i="2"/>
  <c r="J7" i="2" s="1"/>
  <c r="K7" i="2" s="1"/>
  <c r="L7" i="9" s="1"/>
  <c r="I6" i="2"/>
  <c r="J6" i="2" s="1"/>
  <c r="K6" i="2" s="1"/>
  <c r="V12" i="5" l="1"/>
  <c r="V28" i="5"/>
  <c r="D17" i="5"/>
  <c r="D61" i="5"/>
  <c r="AE73" i="5"/>
  <c r="M12" i="9"/>
  <c r="Y12" i="9"/>
  <c r="Z12" i="9" s="1"/>
  <c r="Y39" i="9"/>
  <c r="Z39" i="9" s="1"/>
  <c r="Z42" i="9" s="1"/>
  <c r="M39" i="9"/>
  <c r="M42" i="9" s="1"/>
  <c r="M11" i="9"/>
  <c r="Y11" i="9"/>
  <c r="Z11" i="9" s="1"/>
  <c r="M10" i="9"/>
  <c r="Y10" i="9"/>
  <c r="Z10" i="9" s="1"/>
  <c r="Y6" i="9"/>
  <c r="Z6" i="9" s="1"/>
  <c r="M7" i="9"/>
  <c r="Y7" i="9"/>
  <c r="Z7" i="9" s="1"/>
  <c r="M8" i="9"/>
  <c r="Y8" i="9"/>
  <c r="Z8" i="9" s="1"/>
  <c r="M9" i="9"/>
  <c r="Y9" i="9"/>
  <c r="Z9" i="9" s="1"/>
  <c r="L13" i="2"/>
  <c r="P13" i="2"/>
  <c r="L10" i="2"/>
  <c r="Q10" i="2" s="1"/>
  <c r="P10" i="2"/>
  <c r="L6" i="2"/>
  <c r="P6" i="2"/>
  <c r="L7" i="2"/>
  <c r="Q7" i="2" s="1"/>
  <c r="P7" i="2"/>
  <c r="L8" i="2"/>
  <c r="P8" i="2"/>
  <c r="L9" i="2"/>
  <c r="Q9" i="2" s="1"/>
  <c r="P9" i="2"/>
  <c r="L11" i="2"/>
  <c r="Q11" i="2" s="1"/>
  <c r="P11" i="2"/>
  <c r="I11" i="4"/>
  <c r="C19" i="16"/>
  <c r="Q26" i="3"/>
  <c r="L44" i="3"/>
  <c r="Q44" i="3" s="1"/>
  <c r="P44" i="3"/>
  <c r="L34" i="3"/>
  <c r="I34" i="12"/>
  <c r="P34" i="3"/>
  <c r="L35" i="3"/>
  <c r="Q35" i="3" s="1"/>
  <c r="P35" i="3"/>
  <c r="L25" i="3"/>
  <c r="Q25" i="3" s="1"/>
  <c r="I25" i="12"/>
  <c r="P25" i="3"/>
  <c r="P26" i="3"/>
  <c r="L14" i="3"/>
  <c r="Q14" i="3" s="1"/>
  <c r="P14" i="3"/>
  <c r="L15" i="3"/>
  <c r="Q15" i="3" s="1"/>
  <c r="P15" i="3"/>
  <c r="L16" i="3"/>
  <c r="P16" i="3"/>
  <c r="L17" i="3"/>
  <c r="Q17" i="3" s="1"/>
  <c r="P17" i="3"/>
  <c r="L13" i="3"/>
  <c r="Q13" i="3" s="1"/>
  <c r="P13" i="3"/>
  <c r="L6" i="3"/>
  <c r="P6" i="3"/>
  <c r="L7" i="3"/>
  <c r="P7" i="3"/>
  <c r="L8" i="3"/>
  <c r="P8" i="3"/>
  <c r="L9" i="3"/>
  <c r="Q9" i="3" s="1"/>
  <c r="P9" i="3"/>
  <c r="L10" i="3"/>
  <c r="Q10" i="3" s="1"/>
  <c r="P10" i="3"/>
  <c r="L11" i="3"/>
  <c r="Q11" i="3" s="1"/>
  <c r="P11" i="3"/>
  <c r="L12" i="3"/>
  <c r="Q12" i="3" s="1"/>
  <c r="P12" i="3"/>
  <c r="L40" i="2"/>
  <c r="P40" i="2"/>
  <c r="L30" i="2"/>
  <c r="L33" i="2" s="1"/>
  <c r="I30" i="9"/>
  <c r="L30" i="9" s="1"/>
  <c r="L21" i="2"/>
  <c r="Q21" i="2" s="1"/>
  <c r="I21" i="9"/>
  <c r="L21" i="9" s="1"/>
  <c r="P21" i="2"/>
  <c r="L43" i="3"/>
  <c r="Q43" i="3" s="1"/>
  <c r="P43" i="3"/>
  <c r="L39" i="2"/>
  <c r="Q39" i="2" s="1"/>
  <c r="P39" i="2"/>
  <c r="I9" i="4"/>
  <c r="C13" i="16"/>
  <c r="L22" i="2"/>
  <c r="L24" i="2" s="1"/>
  <c r="D108" i="5"/>
  <c r="Q7" i="3"/>
  <c r="O37" i="3"/>
  <c r="O19" i="3"/>
  <c r="Q8" i="3"/>
  <c r="Q16" i="3"/>
  <c r="N22" i="2"/>
  <c r="O22" i="2" s="1"/>
  <c r="O24" i="2" s="1"/>
  <c r="Q31" i="2"/>
  <c r="V23" i="5"/>
  <c r="V69" i="5"/>
  <c r="D72" i="5"/>
  <c r="M85" i="5"/>
  <c r="AE68" i="5"/>
  <c r="V31" i="5"/>
  <c r="AE13" i="5"/>
  <c r="M87" i="5"/>
  <c r="V64" i="5"/>
  <c r="D51" i="5"/>
  <c r="D59" i="5"/>
  <c r="G59" i="5"/>
  <c r="M88" i="5"/>
  <c r="M95" i="5"/>
  <c r="M103" i="5"/>
  <c r="AE58" i="5"/>
  <c r="AE72" i="5"/>
  <c r="D88" i="5"/>
  <c r="D92" i="5"/>
  <c r="V52" i="5"/>
  <c r="V21" i="5"/>
  <c r="V54" i="5"/>
  <c r="AE29" i="5"/>
  <c r="D94" i="5"/>
  <c r="V107" i="5"/>
  <c r="V91" i="5"/>
  <c r="AE81" i="5"/>
  <c r="AE25" i="5"/>
  <c r="AE70" i="5"/>
  <c r="V27" i="5"/>
  <c r="D69" i="5"/>
  <c r="D86" i="5"/>
  <c r="D47" i="5"/>
  <c r="M67" i="5"/>
  <c r="V8" i="5"/>
  <c r="AE56" i="5"/>
  <c r="D55" i="5"/>
  <c r="M22" i="5"/>
  <c r="AE20" i="5"/>
  <c r="V35" i="5"/>
  <c r="D82" i="5"/>
  <c r="V95" i="5"/>
  <c r="AE28" i="5"/>
  <c r="Y12" i="5"/>
  <c r="D22" i="5"/>
  <c r="V55" i="5"/>
  <c r="G92" i="5"/>
  <c r="V103" i="5"/>
  <c r="V87" i="5"/>
  <c r="M9" i="5"/>
  <c r="M92" i="5"/>
  <c r="M26" i="5"/>
  <c r="V46" i="5"/>
  <c r="Y64" i="5"/>
  <c r="AE88" i="5"/>
  <c r="M13" i="5"/>
  <c r="D30" i="5"/>
  <c r="D34" i="5"/>
  <c r="V57" i="5"/>
  <c r="D104" i="5"/>
  <c r="AE105" i="5"/>
  <c r="AE33" i="5"/>
  <c r="D19" i="5"/>
  <c r="AE66" i="5"/>
  <c r="M17" i="5"/>
  <c r="AE74" i="5"/>
  <c r="M51" i="5"/>
  <c r="AE65" i="5"/>
  <c r="AH72" i="5"/>
  <c r="AH81" i="5"/>
  <c r="G99" i="5"/>
  <c r="D97" i="5"/>
  <c r="M10" i="5"/>
  <c r="AH28" i="5"/>
  <c r="AE30" i="5"/>
  <c r="AH36" i="5"/>
  <c r="D103" i="5"/>
  <c r="AE104" i="5"/>
  <c r="AE53" i="5"/>
  <c r="M71" i="5"/>
  <c r="D32" i="5"/>
  <c r="Y57" i="5"/>
  <c r="AH58" i="5"/>
  <c r="Y69" i="5"/>
  <c r="AH74" i="5"/>
  <c r="M15" i="5"/>
  <c r="V60" i="5"/>
  <c r="Y23" i="5"/>
  <c r="G22" i="5"/>
  <c r="G32" i="5"/>
  <c r="G104" i="5"/>
  <c r="AH33" i="5"/>
  <c r="D38" i="5"/>
  <c r="G19" i="5"/>
  <c r="AH20" i="5"/>
  <c r="G51" i="5"/>
  <c r="G55" i="5"/>
  <c r="V73" i="5"/>
  <c r="Y8" i="5"/>
  <c r="Z39" i="5"/>
  <c r="H11" i="6" s="1"/>
  <c r="N11" i="6" s="1"/>
  <c r="Y46" i="5"/>
  <c r="Y73" i="5"/>
  <c r="P87" i="5"/>
  <c r="G108" i="5"/>
  <c r="D87" i="5"/>
  <c r="V36" i="5"/>
  <c r="W110" i="5"/>
  <c r="E19" i="6" s="1"/>
  <c r="K19" i="6" s="1"/>
  <c r="D91" i="5"/>
  <c r="AE34" i="5"/>
  <c r="D98" i="5"/>
  <c r="D101" i="5"/>
  <c r="D16" i="5"/>
  <c r="AH34" i="5"/>
  <c r="AE45" i="5"/>
  <c r="AE48" i="5"/>
  <c r="AH68" i="5"/>
  <c r="AH73" i="5"/>
  <c r="AE80" i="5"/>
  <c r="G98" i="5"/>
  <c r="P103" i="5"/>
  <c r="Y21" i="5"/>
  <c r="G105" i="5"/>
  <c r="M8" i="5"/>
  <c r="M19" i="5"/>
  <c r="AE32" i="5"/>
  <c r="D67" i="5"/>
  <c r="AE47" i="5"/>
  <c r="D81" i="5"/>
  <c r="AF75" i="5"/>
  <c r="E16" i="6" s="1"/>
  <c r="K16" i="6" s="1"/>
  <c r="D107" i="5"/>
  <c r="D18" i="5"/>
  <c r="M34" i="5"/>
  <c r="AE31" i="5"/>
  <c r="AE62" i="5"/>
  <c r="D109" i="5"/>
  <c r="AE92" i="5"/>
  <c r="AE23" i="5"/>
  <c r="Y55" i="5"/>
  <c r="P95" i="5"/>
  <c r="G107" i="5"/>
  <c r="AH66" i="5"/>
  <c r="AE46" i="5"/>
  <c r="AI38" i="5"/>
  <c r="H12" i="6" s="1"/>
  <c r="N12" i="6" s="1"/>
  <c r="G34" i="5"/>
  <c r="AE50" i="5"/>
  <c r="D52" i="5"/>
  <c r="V68" i="5"/>
  <c r="AE69" i="5"/>
  <c r="V83" i="5"/>
  <c r="G88" i="5"/>
  <c r="M104" i="5"/>
  <c r="AE108" i="5"/>
  <c r="D20" i="5"/>
  <c r="M63" i="5"/>
  <c r="O74" i="5"/>
  <c r="F14" i="6" s="1"/>
  <c r="L14" i="6" s="1"/>
  <c r="D95" i="5"/>
  <c r="AF111" i="5"/>
  <c r="E20" i="6" s="1"/>
  <c r="K20" i="6" s="1"/>
  <c r="AH80" i="5"/>
  <c r="AH105" i="5"/>
  <c r="V14" i="5"/>
  <c r="D63" i="5"/>
  <c r="D93" i="5"/>
  <c r="V13" i="5"/>
  <c r="AH44" i="5"/>
  <c r="G47" i="5"/>
  <c r="AE49" i="5"/>
  <c r="AI111" i="5"/>
  <c r="H20" i="6" s="1"/>
  <c r="N20" i="6" s="1"/>
  <c r="P85" i="5"/>
  <c r="AE89" i="5"/>
  <c r="M30" i="5"/>
  <c r="M14" i="5"/>
  <c r="AE44" i="5"/>
  <c r="M12" i="5"/>
  <c r="AH22" i="5"/>
  <c r="Y28" i="5"/>
  <c r="G30" i="5"/>
  <c r="AI75" i="5"/>
  <c r="H16" i="6" s="1"/>
  <c r="N16" i="6" s="1"/>
  <c r="D73" i="5"/>
  <c r="AH89" i="5"/>
  <c r="M97" i="5"/>
  <c r="AG38" i="5"/>
  <c r="F12" i="6" s="1"/>
  <c r="L12" i="6" s="1"/>
  <c r="M59" i="5"/>
  <c r="V44" i="5"/>
  <c r="G61" i="5"/>
  <c r="G73" i="5"/>
  <c r="P97" i="5"/>
  <c r="V11" i="5"/>
  <c r="D106" i="5"/>
  <c r="D90" i="5"/>
  <c r="V61" i="5"/>
  <c r="Z110" i="5"/>
  <c r="H19" i="6" s="1"/>
  <c r="N19" i="6" s="1"/>
  <c r="M11" i="5"/>
  <c r="X39" i="5"/>
  <c r="F11" i="6" s="1"/>
  <c r="L11" i="6" s="1"/>
  <c r="AE24" i="5"/>
  <c r="V72" i="5"/>
  <c r="AE55" i="5"/>
  <c r="AG111" i="5"/>
  <c r="F20" i="6" s="1"/>
  <c r="L20" i="6" s="1"/>
  <c r="G17" i="5"/>
  <c r="M20" i="5"/>
  <c r="AE21" i="5"/>
  <c r="V47" i="5"/>
  <c r="Y61" i="5"/>
  <c r="D102" i="5"/>
  <c r="M109" i="5"/>
  <c r="V9" i="5"/>
  <c r="AE54" i="5"/>
  <c r="AE100" i="5"/>
  <c r="AE84" i="5"/>
  <c r="V38" i="5"/>
  <c r="H39" i="5"/>
  <c r="H9" i="6" s="1"/>
  <c r="N9" i="6" s="1"/>
  <c r="N36" i="5"/>
  <c r="E10" i="6" s="1"/>
  <c r="K10" i="6" s="1"/>
  <c r="Y36" i="5"/>
  <c r="AE52" i="5"/>
  <c r="AE61" i="5"/>
  <c r="G69" i="5"/>
  <c r="D83" i="5"/>
  <c r="M93" i="5"/>
  <c r="AE97" i="5"/>
  <c r="D14" i="5"/>
  <c r="Y32" i="5"/>
  <c r="Q36" i="5"/>
  <c r="H10" i="6" s="1"/>
  <c r="N10" i="6" s="1"/>
  <c r="D26" i="5"/>
  <c r="D85" i="5"/>
  <c r="AE60" i="5"/>
  <c r="AE27" i="5"/>
  <c r="AH30" i="5"/>
  <c r="AE57" i="5"/>
  <c r="H110" i="5"/>
  <c r="H17" i="6" s="1"/>
  <c r="N17" i="6" s="1"/>
  <c r="D89" i="5"/>
  <c r="AE35" i="5"/>
  <c r="AE96" i="5"/>
  <c r="W39" i="5"/>
  <c r="E11" i="6" s="1"/>
  <c r="K11" i="6" s="1"/>
  <c r="D10" i="5"/>
  <c r="H75" i="5"/>
  <c r="H13" i="6" s="1"/>
  <c r="N13" i="6" s="1"/>
  <c r="Q74" i="5"/>
  <c r="H14" i="6" s="1"/>
  <c r="D68" i="5"/>
  <c r="M108" i="5"/>
  <c r="Z75" i="5"/>
  <c r="H15" i="6" s="1"/>
  <c r="N15" i="6" s="1"/>
  <c r="AE17" i="5"/>
  <c r="N74" i="5"/>
  <c r="E14" i="6" s="1"/>
  <c r="Q111" i="5"/>
  <c r="H18" i="6" s="1"/>
  <c r="N18" i="6" s="1"/>
  <c r="V99" i="5"/>
  <c r="V19" i="5"/>
  <c r="V49" i="5"/>
  <c r="AE64" i="5"/>
  <c r="Q13" i="2"/>
  <c r="O15" i="2"/>
  <c r="AE101" i="5"/>
  <c r="AE85" i="5"/>
  <c r="AE93" i="5"/>
  <c r="AE109" i="5"/>
  <c r="X110" i="5"/>
  <c r="F19" i="6" s="1"/>
  <c r="L19" i="6" s="1"/>
  <c r="O111" i="5"/>
  <c r="F18" i="6" s="1"/>
  <c r="L18" i="6" s="1"/>
  <c r="M81" i="5"/>
  <c r="M107" i="5"/>
  <c r="M91" i="5"/>
  <c r="M96" i="5"/>
  <c r="M101" i="5"/>
  <c r="M84" i="5"/>
  <c r="M89" i="5"/>
  <c r="M105" i="5"/>
  <c r="M100" i="5"/>
  <c r="M99" i="5"/>
  <c r="M83" i="5"/>
  <c r="M80" i="5"/>
  <c r="D100" i="5"/>
  <c r="F110" i="5"/>
  <c r="F17" i="6" s="1"/>
  <c r="L17" i="6" s="1"/>
  <c r="D96" i="5"/>
  <c r="D84" i="5"/>
  <c r="D80" i="5"/>
  <c r="AE59" i="5"/>
  <c r="AE71" i="5"/>
  <c r="AE51" i="5"/>
  <c r="AE67" i="5"/>
  <c r="AE63" i="5"/>
  <c r="X75" i="5"/>
  <c r="F15" i="6" s="1"/>
  <c r="L15" i="6" s="1"/>
  <c r="V65" i="5"/>
  <c r="F75" i="5"/>
  <c r="F13" i="6" s="1"/>
  <c r="L13" i="6" s="1"/>
  <c r="D49" i="5"/>
  <c r="D46" i="5"/>
  <c r="D54" i="5"/>
  <c r="D65" i="5"/>
  <c r="D64" i="5"/>
  <c r="D71" i="5"/>
  <c r="D60" i="5"/>
  <c r="AE11" i="5"/>
  <c r="AE26" i="5"/>
  <c r="AE10" i="5"/>
  <c r="V10" i="5"/>
  <c r="V24" i="5"/>
  <c r="O36" i="5"/>
  <c r="F10" i="6" s="1"/>
  <c r="L10" i="6" s="1"/>
  <c r="F39" i="5"/>
  <c r="F9" i="6" s="1"/>
  <c r="L9" i="6" s="1"/>
  <c r="D12" i="5"/>
  <c r="D21" i="5"/>
  <c r="D15" i="5"/>
  <c r="D36" i="5"/>
  <c r="D27" i="5"/>
  <c r="D35" i="5"/>
  <c r="D24" i="5"/>
  <c r="D23" i="5"/>
  <c r="D31" i="5"/>
  <c r="D28" i="5"/>
  <c r="D13" i="5"/>
  <c r="AE16" i="5"/>
  <c r="AE18" i="5"/>
  <c r="V25" i="5"/>
  <c r="V29" i="5"/>
  <c r="V33" i="5"/>
  <c r="AE37" i="5"/>
  <c r="AF38" i="5"/>
  <c r="E12" i="6" s="1"/>
  <c r="K12" i="6" s="1"/>
  <c r="V45" i="5"/>
  <c r="V48" i="5"/>
  <c r="V50" i="5"/>
  <c r="V53" i="5"/>
  <c r="V56" i="5"/>
  <c r="V58" i="5"/>
  <c r="V62" i="5"/>
  <c r="V66" i="5"/>
  <c r="V70" i="5"/>
  <c r="V74" i="5"/>
  <c r="W75" i="5"/>
  <c r="AE82" i="5"/>
  <c r="AE86" i="5"/>
  <c r="AE90" i="5"/>
  <c r="AE94" i="5"/>
  <c r="AE98" i="5"/>
  <c r="AE102" i="5"/>
  <c r="AE106" i="5"/>
  <c r="AE110" i="5"/>
  <c r="P17" i="5"/>
  <c r="G23" i="5"/>
  <c r="G27" i="5"/>
  <c r="G31" i="5"/>
  <c r="G35" i="5"/>
  <c r="G44" i="5"/>
  <c r="G46" i="5"/>
  <c r="G49" i="5"/>
  <c r="G52" i="5"/>
  <c r="G54" i="5"/>
  <c r="G57" i="5"/>
  <c r="G60" i="5"/>
  <c r="G64" i="5"/>
  <c r="G68" i="5"/>
  <c r="G72" i="5"/>
  <c r="P80" i="5"/>
  <c r="P84" i="5"/>
  <c r="P88" i="5"/>
  <c r="P92" i="5"/>
  <c r="P96" i="5"/>
  <c r="P100" i="5"/>
  <c r="P104" i="5"/>
  <c r="P108" i="5"/>
  <c r="AH10" i="5"/>
  <c r="E110" i="5"/>
  <c r="E17" i="6" s="1"/>
  <c r="K17" i="6" s="1"/>
  <c r="D11" i="5"/>
  <c r="V17" i="5"/>
  <c r="M23" i="5"/>
  <c r="M27" i="5"/>
  <c r="M31" i="5"/>
  <c r="M35" i="5"/>
  <c r="M44" i="5"/>
  <c r="M46" i="5"/>
  <c r="M49" i="5"/>
  <c r="M52" i="5"/>
  <c r="M54" i="5"/>
  <c r="M57" i="5"/>
  <c r="M60" i="5"/>
  <c r="M64" i="5"/>
  <c r="M68" i="5"/>
  <c r="M72" i="5"/>
  <c r="V80" i="5"/>
  <c r="V84" i="5"/>
  <c r="V88" i="5"/>
  <c r="V92" i="5"/>
  <c r="V96" i="5"/>
  <c r="V100" i="5"/>
  <c r="V104" i="5"/>
  <c r="V108" i="5"/>
  <c r="AE19" i="5"/>
  <c r="V20" i="5"/>
  <c r="V22" i="5"/>
  <c r="V26" i="5"/>
  <c r="V30" i="5"/>
  <c r="V34" i="5"/>
  <c r="V51" i="5"/>
  <c r="V59" i="5"/>
  <c r="V63" i="5"/>
  <c r="V67" i="5"/>
  <c r="V71" i="5"/>
  <c r="AE83" i="5"/>
  <c r="AE87" i="5"/>
  <c r="AE91" i="5"/>
  <c r="AE95" i="5"/>
  <c r="AE99" i="5"/>
  <c r="AE103" i="5"/>
  <c r="AE107" i="5"/>
  <c r="E39" i="5"/>
  <c r="E9" i="6" s="1"/>
  <c r="K9" i="6" s="1"/>
  <c r="AE9" i="5"/>
  <c r="V15" i="5"/>
  <c r="M16" i="5"/>
  <c r="M18" i="5"/>
  <c r="D25" i="5"/>
  <c r="D29" i="5"/>
  <c r="D33" i="5"/>
  <c r="D37" i="5"/>
  <c r="P44" i="5"/>
  <c r="P74" i="5" s="1"/>
  <c r="G14" i="6" s="1"/>
  <c r="M14" i="6" s="1"/>
  <c r="D45" i="5"/>
  <c r="D48" i="5"/>
  <c r="D50" i="5"/>
  <c r="D53" i="5"/>
  <c r="D56" i="5"/>
  <c r="D58" i="5"/>
  <c r="D62" i="5"/>
  <c r="D66" i="5"/>
  <c r="D70" i="5"/>
  <c r="D74" i="5"/>
  <c r="AG75" i="5"/>
  <c r="F16" i="6" s="1"/>
  <c r="L16" i="6" s="1"/>
  <c r="Y80" i="5"/>
  <c r="Y110" i="5" s="1"/>
  <c r="G19" i="6" s="1"/>
  <c r="M19" i="6" s="1"/>
  <c r="M82" i="5"/>
  <c r="M86" i="5"/>
  <c r="M90" i="5"/>
  <c r="M94" i="5"/>
  <c r="M98" i="5"/>
  <c r="M102" i="5"/>
  <c r="M106" i="5"/>
  <c r="M110" i="5"/>
  <c r="N111" i="5"/>
  <c r="E18" i="6" s="1"/>
  <c r="K18" i="6" s="1"/>
  <c r="P8" i="5"/>
  <c r="D9" i="5"/>
  <c r="AE12" i="5"/>
  <c r="AE14" i="5"/>
  <c r="M21" i="5"/>
  <c r="M24" i="5"/>
  <c r="M28" i="5"/>
  <c r="M32" i="5"/>
  <c r="M47" i="5"/>
  <c r="M55" i="5"/>
  <c r="M61" i="5"/>
  <c r="M65" i="5"/>
  <c r="M69" i="5"/>
  <c r="M73" i="5"/>
  <c r="V81" i="5"/>
  <c r="V85" i="5"/>
  <c r="V89" i="5"/>
  <c r="V93" i="5"/>
  <c r="V97" i="5"/>
  <c r="V101" i="5"/>
  <c r="V105" i="5"/>
  <c r="V109" i="5"/>
  <c r="AE15" i="5"/>
  <c r="V16" i="5"/>
  <c r="V18" i="5"/>
  <c r="M25" i="5"/>
  <c r="M29" i="5"/>
  <c r="M33" i="5"/>
  <c r="V37" i="5"/>
  <c r="M45" i="5"/>
  <c r="M48" i="5"/>
  <c r="M50" i="5"/>
  <c r="M53" i="5"/>
  <c r="M56" i="5"/>
  <c r="M58" i="5"/>
  <c r="M62" i="5"/>
  <c r="M66" i="5"/>
  <c r="M70" i="5"/>
  <c r="E75" i="5"/>
  <c r="E13" i="6" s="1"/>
  <c r="K13" i="6" s="1"/>
  <c r="V82" i="5"/>
  <c r="V86" i="5"/>
  <c r="V90" i="5"/>
  <c r="V94" i="5"/>
  <c r="V98" i="5"/>
  <c r="V102" i="5"/>
  <c r="V106" i="5"/>
  <c r="L28" i="3"/>
  <c r="Q6" i="2"/>
  <c r="M15" i="9" l="1"/>
  <c r="L15" i="2"/>
  <c r="Z15" i="9"/>
  <c r="M21" i="9"/>
  <c r="Y21" i="9"/>
  <c r="Z21" i="9" s="1"/>
  <c r="L42" i="2"/>
  <c r="D11" i="4" s="1"/>
  <c r="M30" i="9"/>
  <c r="M33" i="9" s="1"/>
  <c r="Y30" i="9"/>
  <c r="Z30" i="9" s="1"/>
  <c r="Z33" i="9" s="1"/>
  <c r="P22" i="2"/>
  <c r="L46" i="3"/>
  <c r="L37" i="3"/>
  <c r="Q34" i="3"/>
  <c r="Q37" i="3" s="1"/>
  <c r="L10" i="16"/>
  <c r="L19" i="3"/>
  <c r="B10" i="16" s="1"/>
  <c r="Q30" i="2"/>
  <c r="Q33" i="2" s="1"/>
  <c r="Q8" i="2"/>
  <c r="Q15" i="2" s="1"/>
  <c r="D8" i="4"/>
  <c r="B9" i="16"/>
  <c r="Q40" i="2"/>
  <c r="Q42" i="2" s="1"/>
  <c r="I10" i="4"/>
  <c r="C16" i="16"/>
  <c r="I8" i="4"/>
  <c r="C10" i="16"/>
  <c r="H10" i="4"/>
  <c r="B16" i="16"/>
  <c r="L16" i="16"/>
  <c r="Q6" i="3"/>
  <c r="Q19" i="3" s="1"/>
  <c r="D10" i="4"/>
  <c r="B15" i="16"/>
  <c r="M24" i="9"/>
  <c r="Z24" i="9"/>
  <c r="H11" i="4"/>
  <c r="B19" i="16"/>
  <c r="L19" i="16"/>
  <c r="H9" i="4"/>
  <c r="B13" i="16"/>
  <c r="E8" i="4"/>
  <c r="C9" i="16"/>
  <c r="E9" i="4"/>
  <c r="C12" i="16"/>
  <c r="D9" i="4"/>
  <c r="B12" i="16"/>
  <c r="Q46" i="3"/>
  <c r="O33" i="2"/>
  <c r="Q28" i="3"/>
  <c r="O42" i="2"/>
  <c r="Q22" i="2"/>
  <c r="Y75" i="5"/>
  <c r="G15" i="6" s="1"/>
  <c r="M15" i="6" s="1"/>
  <c r="L22" i="6"/>
  <c r="L23" i="6"/>
  <c r="K22" i="6"/>
  <c r="E30" i="6" s="1"/>
  <c r="AH111" i="5"/>
  <c r="G20" i="6" s="1"/>
  <c r="M20" i="6" s="1"/>
  <c r="N22" i="6"/>
  <c r="E32" i="6" s="1"/>
  <c r="H24" i="6"/>
  <c r="G39" i="5"/>
  <c r="G9" i="6" s="1"/>
  <c r="M9" i="6" s="1"/>
  <c r="L24" i="6"/>
  <c r="G110" i="5"/>
  <c r="G17" i="6" s="1"/>
  <c r="M17" i="6" s="1"/>
  <c r="Y39" i="5"/>
  <c r="G11" i="6" s="1"/>
  <c r="M11" i="6" s="1"/>
  <c r="AH75" i="5"/>
  <c r="G16" i="6" s="1"/>
  <c r="M16" i="6" s="1"/>
  <c r="K14" i="6"/>
  <c r="E15" i="6"/>
  <c r="K15" i="6" s="1"/>
  <c r="H22" i="6"/>
  <c r="AE75" i="5"/>
  <c r="D16" i="6" s="1"/>
  <c r="J16" i="6" s="1"/>
  <c r="H23" i="6"/>
  <c r="N14" i="6"/>
  <c r="N24" i="6" s="1"/>
  <c r="E22" i="6"/>
  <c r="AE38" i="5"/>
  <c r="D12" i="6" s="1"/>
  <c r="J12" i="6" s="1"/>
  <c r="D110" i="5"/>
  <c r="D17" i="6" s="1"/>
  <c r="J17" i="6" s="1"/>
  <c r="P36" i="5"/>
  <c r="G10" i="6" s="1"/>
  <c r="M10" i="6" s="1"/>
  <c r="AE111" i="5"/>
  <c r="D20" i="6" s="1"/>
  <c r="J20" i="6" s="1"/>
  <c r="M111" i="5"/>
  <c r="D18" i="6" s="1"/>
  <c r="J18" i="6" s="1"/>
  <c r="F23" i="6"/>
  <c r="D75" i="5"/>
  <c r="D13" i="6" s="1"/>
  <c r="J13" i="6" s="1"/>
  <c r="V39" i="5"/>
  <c r="D11" i="6" s="1"/>
  <c r="J11" i="6" s="1"/>
  <c r="F24" i="6"/>
  <c r="M36" i="5"/>
  <c r="D10" i="6" s="1"/>
  <c r="J10" i="6" s="1"/>
  <c r="F22" i="6"/>
  <c r="D39" i="5"/>
  <c r="D9" i="6" s="1"/>
  <c r="P111" i="5"/>
  <c r="G18" i="6" s="1"/>
  <c r="M18" i="6" s="1"/>
  <c r="AH38" i="5"/>
  <c r="V75" i="5"/>
  <c r="D15" i="6" s="1"/>
  <c r="J15" i="6" s="1"/>
  <c r="M74" i="5"/>
  <c r="D14" i="6" s="1"/>
  <c r="V110" i="5"/>
  <c r="D19" i="6" s="1"/>
  <c r="J19" i="6" s="1"/>
  <c r="G75" i="5"/>
  <c r="G13" i="6" s="1"/>
  <c r="M13" i="6" s="1"/>
  <c r="B18" i="16" l="1"/>
  <c r="O8" i="13"/>
  <c r="H8" i="4"/>
  <c r="E10" i="4"/>
  <c r="C15" i="16"/>
  <c r="E11" i="4"/>
  <c r="C18" i="16"/>
  <c r="O16" i="16"/>
  <c r="R10" i="13"/>
  <c r="J10" i="4"/>
  <c r="D16" i="16"/>
  <c r="O13" i="16"/>
  <c r="R9" i="13"/>
  <c r="L13" i="16"/>
  <c r="O9" i="13"/>
  <c r="J8" i="4"/>
  <c r="D10" i="16"/>
  <c r="L15" i="16"/>
  <c r="O10" i="13"/>
  <c r="J10" i="13"/>
  <c r="F10" i="4"/>
  <c r="D15" i="16"/>
  <c r="J9" i="13"/>
  <c r="L12" i="16"/>
  <c r="O19" i="16"/>
  <c r="R11" i="13"/>
  <c r="L18" i="16"/>
  <c r="O11" i="13"/>
  <c r="J11" i="13"/>
  <c r="L9" i="16"/>
  <c r="J8" i="13"/>
  <c r="U8" i="13" s="1"/>
  <c r="J11" i="4"/>
  <c r="D19" i="16"/>
  <c r="F11" i="4"/>
  <c r="D18" i="16"/>
  <c r="J9" i="4"/>
  <c r="D13" i="16"/>
  <c r="F8" i="4"/>
  <c r="D9" i="16"/>
  <c r="Q24" i="2"/>
  <c r="E31" i="6"/>
  <c r="M23" i="6"/>
  <c r="J14" i="6"/>
  <c r="E24" i="6"/>
  <c r="G23" i="6"/>
  <c r="K24" i="6"/>
  <c r="N23" i="6"/>
  <c r="D32" i="6" s="1"/>
  <c r="K23" i="6"/>
  <c r="D30" i="6" s="1"/>
  <c r="E23" i="6"/>
  <c r="G12" i="6"/>
  <c r="M12" i="6" s="1"/>
  <c r="M24" i="6" s="1"/>
  <c r="D23" i="6"/>
  <c r="J9" i="16" l="1"/>
  <c r="J16" i="16"/>
  <c r="J13" i="16"/>
  <c r="J10" i="16"/>
  <c r="J15" i="16"/>
  <c r="J19" i="16"/>
  <c r="J18" i="16"/>
  <c r="F9" i="4"/>
  <c r="D12" i="16"/>
  <c r="C18" i="14" a="1"/>
  <c r="C9" i="14" a="1"/>
  <c r="C15" i="14" a="1"/>
  <c r="C12" i="14" a="1"/>
  <c r="D31" i="6"/>
  <c r="D34" i="6" s="1"/>
  <c r="M22" i="6"/>
  <c r="D22" i="6"/>
  <c r="J23" i="6"/>
  <c r="D24" i="6"/>
  <c r="G24" i="6"/>
  <c r="G22" i="6"/>
  <c r="J9" i="6"/>
  <c r="J24" i="6" s="1"/>
  <c r="J12" i="16" l="1"/>
  <c r="G36" i="11"/>
  <c r="N36" i="11" s="1"/>
  <c r="R36" i="11" s="1"/>
  <c r="S36" i="11" s="1"/>
  <c r="G25" i="12"/>
  <c r="G8" i="12"/>
  <c r="G7" i="12"/>
  <c r="G28" i="11"/>
  <c r="G20" i="11"/>
  <c r="G11" i="11"/>
  <c r="G39" i="9"/>
  <c r="G12" i="9"/>
  <c r="G7" i="9"/>
  <c r="G16" i="12"/>
  <c r="G9" i="12"/>
  <c r="G6" i="12"/>
  <c r="G11" i="9"/>
  <c r="G12" i="11"/>
  <c r="N12" i="11" s="1"/>
  <c r="R12" i="11" s="1"/>
  <c r="S12" i="11" s="1"/>
  <c r="G10" i="11"/>
  <c r="G21" i="9"/>
  <c r="G10" i="12"/>
  <c r="G10" i="9"/>
  <c r="G9" i="9"/>
  <c r="G8" i="11"/>
  <c r="N8" i="11" s="1"/>
  <c r="G7" i="11"/>
  <c r="N7" i="11" s="1"/>
  <c r="G30" i="9"/>
  <c r="G14" i="12"/>
  <c r="G11" i="12"/>
  <c r="G43" i="12"/>
  <c r="G12" i="12"/>
  <c r="G8" i="9"/>
  <c r="G9" i="11"/>
  <c r="G6" i="9"/>
  <c r="G15" i="12"/>
  <c r="G6" i="11"/>
  <c r="G13" i="12"/>
  <c r="G34" i="12"/>
  <c r="D12" i="14"/>
  <c r="G12" i="14" s="1"/>
  <c r="J12" i="14" s="1"/>
  <c r="R11" i="16" s="1"/>
  <c r="C14" i="14"/>
  <c r="C13" i="14"/>
  <c r="C12" i="14"/>
  <c r="D13" i="14"/>
  <c r="G13" i="14" s="1"/>
  <c r="J13" i="14" s="1"/>
  <c r="R12" i="16" s="1"/>
  <c r="D14" i="14"/>
  <c r="G14" i="14" s="1"/>
  <c r="J14" i="14" s="1"/>
  <c r="R13" i="16" s="1"/>
  <c r="C16" i="14"/>
  <c r="D15" i="14"/>
  <c r="G15" i="14" s="1"/>
  <c r="J15" i="14" s="1"/>
  <c r="R14" i="16" s="1"/>
  <c r="D16" i="14"/>
  <c r="G16" i="14" s="1"/>
  <c r="J16" i="14" s="1"/>
  <c r="R15" i="16" s="1"/>
  <c r="C15" i="14"/>
  <c r="D17" i="14"/>
  <c r="G17" i="14" s="1"/>
  <c r="J17" i="14" s="1"/>
  <c r="R16" i="16" s="1"/>
  <c r="C17" i="14"/>
  <c r="C9" i="14"/>
  <c r="D10" i="14"/>
  <c r="G10" i="14" s="1"/>
  <c r="J10" i="14" s="1"/>
  <c r="R9" i="16" s="1"/>
  <c r="C10" i="14"/>
  <c r="D11" i="14"/>
  <c r="G11" i="14" s="1"/>
  <c r="J11" i="14" s="1"/>
  <c r="R10" i="16" s="1"/>
  <c r="C11" i="14"/>
  <c r="D9" i="14"/>
  <c r="G9" i="14" s="1"/>
  <c r="J9" i="14" s="1"/>
  <c r="R8" i="16" s="1"/>
  <c r="C18" i="14"/>
  <c r="D20" i="14"/>
  <c r="G20" i="14" s="1"/>
  <c r="J20" i="14" s="1"/>
  <c r="R19" i="16" s="1"/>
  <c r="C20" i="14"/>
  <c r="D19" i="14"/>
  <c r="G19" i="14" s="1"/>
  <c r="J19" i="14" s="1"/>
  <c r="R18" i="16" s="1"/>
  <c r="C19" i="14"/>
  <c r="D18" i="14"/>
  <c r="G18" i="14" s="1"/>
  <c r="J18" i="14" s="1"/>
  <c r="R17" i="16" s="1"/>
  <c r="J22" i="6"/>
  <c r="N6" i="11" l="1"/>
  <c r="R6" i="11" s="1"/>
  <c r="S6" i="11" s="1"/>
  <c r="H6" i="11"/>
  <c r="L6" i="11" s="1"/>
  <c r="N28" i="11"/>
  <c r="H28" i="11"/>
  <c r="L28" i="11" s="1"/>
  <c r="N20" i="11"/>
  <c r="H20" i="11"/>
  <c r="L20" i="11" s="1"/>
  <c r="S38" i="11"/>
  <c r="H36" i="11"/>
  <c r="L36" i="11" s="1"/>
  <c r="H7" i="11"/>
  <c r="L7" i="11" s="1"/>
  <c r="R7" i="11"/>
  <c r="S7" i="11" s="1"/>
  <c r="H11" i="11"/>
  <c r="L11" i="11" s="1"/>
  <c r="N11" i="11"/>
  <c r="R11" i="11" s="1"/>
  <c r="S11" i="11" s="1"/>
  <c r="H10" i="11"/>
  <c r="L10" i="11" s="1"/>
  <c r="N10" i="11"/>
  <c r="R10" i="11" s="1"/>
  <c r="S10" i="11" s="1"/>
  <c r="H9" i="11"/>
  <c r="L9" i="11" s="1"/>
  <c r="N9" i="11"/>
  <c r="R9" i="11" s="1"/>
  <c r="S9" i="11" s="1"/>
  <c r="H8" i="11"/>
  <c r="L8" i="11" s="1"/>
  <c r="R8" i="11"/>
  <c r="S8" i="11" s="1"/>
  <c r="H12" i="11"/>
  <c r="L12" i="11" s="1"/>
  <c r="F9" i="14"/>
  <c r="E9" i="14"/>
  <c r="E17" i="14"/>
  <c r="F17" i="14"/>
  <c r="F15" i="14"/>
  <c r="E15" i="14"/>
  <c r="F19" i="14"/>
  <c r="E19" i="14"/>
  <c r="E13" i="14"/>
  <c r="F13" i="14"/>
  <c r="F16" i="14"/>
  <c r="E16" i="14"/>
  <c r="M8" i="13"/>
  <c r="E20" i="14"/>
  <c r="F20" i="14"/>
  <c r="E14" i="14"/>
  <c r="F14" i="14"/>
  <c r="F12" i="14"/>
  <c r="E12" i="14"/>
  <c r="F18" i="14"/>
  <c r="E18" i="14"/>
  <c r="F11" i="14"/>
  <c r="E11" i="14"/>
  <c r="F10" i="14"/>
  <c r="E10" i="14"/>
  <c r="M17" i="16" l="1"/>
  <c r="E11" i="13"/>
  <c r="M36" i="11"/>
  <c r="M10" i="11"/>
  <c r="M7" i="11"/>
  <c r="M11" i="11"/>
  <c r="M20" i="11"/>
  <c r="M22" i="11" s="1"/>
  <c r="L11" i="16" s="1"/>
  <c r="M12" i="11"/>
  <c r="M8" i="11"/>
  <c r="M28" i="11"/>
  <c r="M30" i="11" s="1"/>
  <c r="M6" i="11"/>
  <c r="M9" i="11"/>
  <c r="R28" i="11"/>
  <c r="S28" i="11" s="1"/>
  <c r="S30" i="11" s="1"/>
  <c r="R20" i="11"/>
  <c r="S20" i="11" s="1"/>
  <c r="S22" i="11" s="1"/>
  <c r="O10" i="16"/>
  <c r="R8" i="13"/>
  <c r="AC8" i="13" s="1"/>
  <c r="M10" i="16"/>
  <c r="P8" i="13"/>
  <c r="AA8" i="13" s="1"/>
  <c r="M38" i="11"/>
  <c r="S14" i="11"/>
  <c r="W6" i="11"/>
  <c r="M9" i="13"/>
  <c r="X9" i="13" s="1"/>
  <c r="O12" i="16"/>
  <c r="AC10" i="13"/>
  <c r="AC9" i="13"/>
  <c r="Z8" i="13"/>
  <c r="M11" i="13"/>
  <c r="X11" i="13" s="1"/>
  <c r="O18" i="16"/>
  <c r="M10" i="13"/>
  <c r="X10" i="13" s="1"/>
  <c r="O15" i="16"/>
  <c r="X8" i="13"/>
  <c r="O9" i="16"/>
  <c r="I20" i="14"/>
  <c r="Q19" i="16" s="1"/>
  <c r="H20" i="14"/>
  <c r="Z10" i="13"/>
  <c r="U10" i="13"/>
  <c r="I15" i="14"/>
  <c r="Q14" i="16" s="1"/>
  <c r="H15" i="14"/>
  <c r="I14" i="14"/>
  <c r="Q13" i="16" s="1"/>
  <c r="H14" i="14"/>
  <c r="I11" i="14"/>
  <c r="Q10" i="16" s="1"/>
  <c r="H11" i="14"/>
  <c r="I17" i="14"/>
  <c r="Q16" i="16" s="1"/>
  <c r="H17" i="14"/>
  <c r="Z9" i="13"/>
  <c r="U9" i="13"/>
  <c r="U11" i="13"/>
  <c r="Z11" i="13"/>
  <c r="I10" i="14"/>
  <c r="Q9" i="16" s="1"/>
  <c r="H10" i="14"/>
  <c r="I18" i="14"/>
  <c r="Q17" i="16" s="1"/>
  <c r="H18" i="14"/>
  <c r="H13" i="14"/>
  <c r="I13" i="14"/>
  <c r="Q12" i="16" s="1"/>
  <c r="I19" i="14"/>
  <c r="Q18" i="16" s="1"/>
  <c r="H19" i="14"/>
  <c r="I16" i="14"/>
  <c r="Q15" i="16" s="1"/>
  <c r="H16" i="14"/>
  <c r="I9" i="14"/>
  <c r="Q8" i="16" s="1"/>
  <c r="H9" i="14"/>
  <c r="I12" i="14"/>
  <c r="Q11" i="16" s="1"/>
  <c r="H12" i="14"/>
  <c r="M11" i="16" l="1"/>
  <c r="E9" i="13"/>
  <c r="M14" i="16"/>
  <c r="E10" i="13"/>
  <c r="M8" i="16"/>
  <c r="E8" i="13"/>
  <c r="L17" i="16"/>
  <c r="D11" i="13"/>
  <c r="Y6" i="11"/>
  <c r="Z6" i="11" s="1"/>
  <c r="X6" i="11"/>
  <c r="M14" i="11"/>
  <c r="L8" i="16" s="1"/>
  <c r="W28" i="11"/>
  <c r="Y28" i="11" s="1"/>
  <c r="Z28" i="11" s="1"/>
  <c r="D9" i="13"/>
  <c r="D10" i="13"/>
  <c r="L14" i="16"/>
  <c r="N14" i="16"/>
  <c r="AC11" i="13"/>
  <c r="K17" i="14"/>
  <c r="S16" i="16" s="1"/>
  <c r="K16" i="14"/>
  <c r="S15" i="16" s="1"/>
  <c r="K11" i="14"/>
  <c r="S10" i="16" s="1"/>
  <c r="K19" i="14"/>
  <c r="S18" i="16" s="1"/>
  <c r="K18" i="14"/>
  <c r="S17" i="16" s="1"/>
  <c r="K12" i="14"/>
  <c r="S11" i="16" s="1"/>
  <c r="K14" i="14"/>
  <c r="S13" i="16" s="1"/>
  <c r="K10" i="14"/>
  <c r="S9" i="16" s="1"/>
  <c r="K20" i="14"/>
  <c r="S19" i="16" s="1"/>
  <c r="K9" i="14"/>
  <c r="S8" i="16" s="1"/>
  <c r="K13" i="14"/>
  <c r="S12" i="16" s="1"/>
  <c r="K15" i="14"/>
  <c r="S14" i="16" s="1"/>
  <c r="X28" i="11" l="1"/>
  <c r="X30" i="11" s="1"/>
  <c r="W12" i="11"/>
  <c r="W8" i="11"/>
  <c r="X8" i="11" s="1"/>
  <c r="W11" i="11"/>
  <c r="X11" i="11" s="1"/>
  <c r="W9" i="11"/>
  <c r="X9" i="11" s="1"/>
  <c r="W10" i="11"/>
  <c r="X10" i="11" s="1"/>
  <c r="W36" i="11"/>
  <c r="N17" i="16"/>
  <c r="Z30" i="11"/>
  <c r="O14" i="16" s="1"/>
  <c r="U16" i="16" s="1"/>
  <c r="N11" i="16"/>
  <c r="W20" i="11"/>
  <c r="Y20" i="11" s="1"/>
  <c r="Z20" i="11" s="1"/>
  <c r="Z22" i="11" s="1"/>
  <c r="G9" i="13" s="1"/>
  <c r="N8" i="16"/>
  <c r="F9" i="13"/>
  <c r="F10" i="13"/>
  <c r="D8" i="13"/>
  <c r="V18" i="16"/>
  <c r="V19" i="16"/>
  <c r="L19" i="14"/>
  <c r="M19" i="14" s="1"/>
  <c r="L11" i="14"/>
  <c r="M11" i="14" s="1"/>
  <c r="V10" i="16"/>
  <c r="V9" i="16"/>
  <c r="V13" i="16"/>
  <c r="V12" i="16"/>
  <c r="V16" i="16"/>
  <c r="V15" i="16"/>
  <c r="L20" i="14"/>
  <c r="M20" i="14" s="1"/>
  <c r="L13" i="14"/>
  <c r="M13" i="14" s="1"/>
  <c r="L14" i="14"/>
  <c r="M14" i="14" s="1"/>
  <c r="L16" i="14"/>
  <c r="M16" i="14" s="1"/>
  <c r="L10" i="14"/>
  <c r="M10" i="14" s="1"/>
  <c r="L17" i="14"/>
  <c r="M17" i="14" s="1"/>
  <c r="X36" i="11" l="1"/>
  <c r="X38" i="11" s="1"/>
  <c r="Y36" i="11"/>
  <c r="Z36" i="11" s="1"/>
  <c r="Z38" i="11" s="1"/>
  <c r="Y12" i="11"/>
  <c r="Z12" i="11" s="1"/>
  <c r="X12" i="11"/>
  <c r="X20" i="11"/>
  <c r="X22" i="11" s="1"/>
  <c r="Y7" i="11"/>
  <c r="Z7" i="11" s="1"/>
  <c r="Y9" i="11"/>
  <c r="Z9" i="11" s="1"/>
  <c r="Y8" i="11"/>
  <c r="Z8" i="11" s="1"/>
  <c r="Y10" i="11"/>
  <c r="Z10" i="11" s="1"/>
  <c r="Y11" i="11"/>
  <c r="Z11" i="11" s="1"/>
  <c r="O11" i="16"/>
  <c r="U12" i="16" s="1"/>
  <c r="X14" i="11"/>
  <c r="G10" i="13"/>
  <c r="U15" i="16"/>
  <c r="W16" i="16"/>
  <c r="Y16" i="16" s="1"/>
  <c r="N16" i="7" s="1"/>
  <c r="O17" i="16" l="1"/>
  <c r="G11" i="13"/>
  <c r="U18" i="16"/>
  <c r="U19" i="16"/>
  <c r="W15" i="16"/>
  <c r="AA15" i="16" s="1"/>
  <c r="P15" i="7" s="1"/>
  <c r="W12" i="16"/>
  <c r="AA12" i="16" s="1"/>
  <c r="P12" i="7" s="1"/>
  <c r="Z14" i="11"/>
  <c r="U13" i="16"/>
  <c r="AA16" i="16"/>
  <c r="P16" i="7" s="1"/>
  <c r="Y15" i="16" l="1"/>
  <c r="N15" i="7" s="1"/>
  <c r="W19" i="16"/>
  <c r="W18" i="16"/>
  <c r="Y12" i="16"/>
  <c r="N12" i="7" s="1"/>
  <c r="W13" i="16"/>
  <c r="O8" i="16"/>
  <c r="G8" i="13"/>
  <c r="AA18" i="16" l="1"/>
  <c r="P18" i="7" s="1"/>
  <c r="Y18" i="16"/>
  <c r="N18" i="7" s="1"/>
  <c r="Y19" i="16"/>
  <c r="N19" i="7" s="1"/>
  <c r="AA19" i="16"/>
  <c r="P19" i="7" s="1"/>
  <c r="AA13" i="16"/>
  <c r="P13" i="7" s="1"/>
  <c r="Y13" i="16"/>
  <c r="N13" i="7" s="1"/>
  <c r="U9" i="16"/>
  <c r="U10" i="16"/>
  <c r="W10" i="16" l="1"/>
  <c r="W9" i="16"/>
  <c r="Y10" i="16" l="1"/>
  <c r="N10" i="7" s="1"/>
  <c r="AA10" i="16"/>
  <c r="P10" i="7" s="1"/>
  <c r="Y9" i="16"/>
  <c r="N9" i="7" s="1"/>
  <c r="AA9" i="16"/>
  <c r="P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Tony Esposito</author>
  </authors>
  <commentList>
    <comment ref="C11" authorId="0" shapeId="0" xr:uid="{FA08B174-5B97-46E3-B657-355508EB7BDA}">
      <text>
        <r>
          <rPr>
            <sz val="9"/>
            <color indexed="81"/>
            <rFont val="Tahoma"/>
            <family val="2"/>
          </rPr>
          <t>June - September</t>
        </r>
      </text>
    </comment>
    <comment ref="C12" authorId="0" shapeId="0" xr:uid="{E25B895F-A9D7-4829-B7DB-EDBA0D61F5DB}">
      <text>
        <r>
          <rPr>
            <sz val="9"/>
            <color indexed="81"/>
            <rFont val="Tahoma"/>
            <family val="2"/>
          </rPr>
          <t>January - May
October - December</t>
        </r>
      </text>
    </comment>
    <comment ref="C29" authorId="0" shapeId="0" xr:uid="{484E4D8C-FD37-4456-B1E4-A9772D1A7BDB}">
      <text>
        <r>
          <rPr>
            <sz val="9"/>
            <color indexed="81"/>
            <rFont val="Tahoma"/>
            <family val="2"/>
          </rPr>
          <t xml:space="preserve">The percentage of LED failures that require a full replacement of the LED head. These failure incur the full capital cost of the fixture (material) and labor costs for installation. </t>
        </r>
      </text>
    </comment>
    <comment ref="C30" authorId="0" shapeId="0" xr:uid="{8598F936-6180-4A2F-8269-DBEF9241C72C}">
      <text>
        <r>
          <rPr>
            <sz val="9"/>
            <color indexed="81"/>
            <rFont val="Tahoma"/>
            <family val="2"/>
          </rPr>
          <t xml:space="preserve">The percentage of drivers per 1000 hours of operation that fail. These failures iincur material cost for the driver replacement and labor cost for installation.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Tony Esposito</author>
    <author>Valeria Holland</author>
  </authors>
  <commentList>
    <comment ref="I4" authorId="0" shapeId="0" xr:uid="{B8F5CABE-3D32-4834-93F9-71752EA47FEA}">
      <text>
        <r>
          <rPr>
            <sz val="9"/>
            <color indexed="81"/>
            <rFont val="Tahoma"/>
            <family val="2"/>
          </rPr>
          <t>ED = Electrical Distributor 
This column is used to account for the markup applied by the</t>
        </r>
        <r>
          <rPr>
            <b/>
            <sz val="9"/>
            <color indexed="81"/>
            <rFont val="Tahoma"/>
            <family val="2"/>
          </rPr>
          <t xml:space="preserve"> electrical distributor</t>
        </r>
        <r>
          <rPr>
            <sz val="9"/>
            <color indexed="81"/>
            <rFont val="Tahoma"/>
            <family val="2"/>
          </rPr>
          <t xml:space="preserve">.
</t>
        </r>
      </text>
    </comment>
    <comment ref="J4" authorId="0" shapeId="0" xr:uid="{20CB86F0-91B5-44E1-B1D9-2879729DEF08}">
      <text>
        <r>
          <rPr>
            <sz val="9"/>
            <color indexed="81"/>
            <rFont val="Tahoma"/>
            <family val="2"/>
          </rPr>
          <t xml:space="preserve">ED = Electrical Contractor 
This column is used to account for the markup applied by the </t>
        </r>
        <r>
          <rPr>
            <b/>
            <sz val="9"/>
            <color indexed="81"/>
            <rFont val="Tahoma"/>
            <family val="2"/>
          </rPr>
          <t>electrical contractor</t>
        </r>
        <r>
          <rPr>
            <sz val="9"/>
            <color indexed="81"/>
            <rFont val="Tahoma"/>
            <family val="2"/>
          </rPr>
          <t xml:space="preserve">.
</t>
        </r>
      </text>
    </comment>
    <comment ref="N4" authorId="0" shapeId="0" xr:uid="{637E107A-AC1E-44A9-A91A-EFD15F1F7EF1}">
      <text>
        <r>
          <rPr>
            <sz val="9"/>
            <color indexed="81"/>
            <rFont val="Tahoma"/>
            <family val="2"/>
          </rPr>
          <t xml:space="preserve">Labor costs taken from RS Means include labor markups that vary by product type. This column is included to allow the application of a uniform labor markup. 
</t>
        </r>
      </text>
    </comment>
    <comment ref="H5" authorId="0" shapeId="0" xr:uid="{8E3F7BEC-55DB-4706-8481-6F56200E95CE}">
      <text>
        <r>
          <rPr>
            <sz val="9"/>
            <color indexed="81"/>
            <rFont val="Tahoma"/>
            <family val="2"/>
          </rPr>
          <t>DN = Distributor Net 
DN price represents the incurred cost to consumers.</t>
        </r>
      </text>
    </comment>
    <comment ref="M5" authorId="0" shapeId="0" xr:uid="{57E6850E-F8A8-450E-8E17-892F25BB5D7C}">
      <text>
        <r>
          <rPr>
            <sz val="9"/>
            <color indexed="81"/>
            <rFont val="Tahoma"/>
            <family val="2"/>
          </rPr>
          <t>Labor costs taken from FSG</t>
        </r>
      </text>
    </comment>
    <comment ref="H13" authorId="1" shapeId="0" xr:uid="{0830C145-AFD7-4A54-89C0-ABC2DB99BE04}">
      <text>
        <r>
          <rPr>
            <b/>
            <sz val="9"/>
            <color indexed="81"/>
            <rFont val="Tahoma"/>
            <family val="2"/>
          </rPr>
          <t>Note:</t>
        </r>
        <r>
          <rPr>
            <sz val="9"/>
            <color indexed="81"/>
            <rFont val="Tahoma"/>
            <family val="2"/>
          </rPr>
          <t xml:space="preserve">
Cost of sensors, wall switch, relays, repeater plus "the brain" of the system and commissioning</t>
        </r>
      </text>
    </comment>
    <comment ref="M13" authorId="1" shapeId="0" xr:uid="{CF90274A-6396-4140-BFE8-08D7176B2FA6}">
      <text>
        <r>
          <rPr>
            <sz val="9"/>
            <color indexed="81"/>
            <rFont val="Tahoma"/>
            <family val="2"/>
          </rPr>
          <t>Labor cost for control system equal to 
4 hours at $115 per hour. Values provided by Facility Solutions Group (FSG).</t>
        </r>
      </text>
    </comment>
    <comment ref="I19" authorId="0" shapeId="0" xr:uid="{201C1F8A-3FB9-49C7-BC88-C742335C6FEA}">
      <text>
        <r>
          <rPr>
            <sz val="9"/>
            <color indexed="81"/>
            <rFont val="Tahoma"/>
            <family val="2"/>
          </rPr>
          <t>ED = Electrical Distributor 
This column is used to account for the markup applied by the</t>
        </r>
        <r>
          <rPr>
            <b/>
            <sz val="9"/>
            <color indexed="81"/>
            <rFont val="Tahoma"/>
            <family val="2"/>
          </rPr>
          <t xml:space="preserve"> electrical distributor</t>
        </r>
        <r>
          <rPr>
            <sz val="9"/>
            <color indexed="81"/>
            <rFont val="Tahoma"/>
            <family val="2"/>
          </rPr>
          <t xml:space="preserve">.
</t>
        </r>
      </text>
    </comment>
    <comment ref="J19" authorId="0" shapeId="0" xr:uid="{5D107C28-8767-4C77-A6AE-032D4A38F998}">
      <text>
        <r>
          <rPr>
            <sz val="9"/>
            <color indexed="81"/>
            <rFont val="Tahoma"/>
            <family val="2"/>
          </rPr>
          <t xml:space="preserve">ED = Electrical Contractor 
This column is used to account for the markup applied by the </t>
        </r>
        <r>
          <rPr>
            <b/>
            <sz val="9"/>
            <color indexed="81"/>
            <rFont val="Tahoma"/>
            <family val="2"/>
          </rPr>
          <t>electrical contractor</t>
        </r>
        <r>
          <rPr>
            <sz val="9"/>
            <color indexed="81"/>
            <rFont val="Tahoma"/>
            <family val="2"/>
          </rPr>
          <t xml:space="preserve">.
</t>
        </r>
      </text>
    </comment>
    <comment ref="N19" authorId="0" shapeId="0" xr:uid="{9F908217-CC1C-4908-8208-2242A1CC20A7}">
      <text>
        <r>
          <rPr>
            <sz val="9"/>
            <color indexed="81"/>
            <rFont val="Tahoma"/>
            <family val="2"/>
          </rPr>
          <t xml:space="preserve">Labor costs taken from RS Means include labor markups that vary by product type. This column is included to allow the application of a uniform labor markup. 
</t>
        </r>
      </text>
    </comment>
    <comment ref="H20" authorId="0" shapeId="0" xr:uid="{337D3EEE-BDB6-4C48-A343-15FFB68EADE6}">
      <text>
        <r>
          <rPr>
            <sz val="9"/>
            <color indexed="81"/>
            <rFont val="Tahoma"/>
            <family val="2"/>
          </rPr>
          <t>DN = Distributor Net 
DN price represents the incurred cost to consumers.</t>
        </r>
      </text>
    </comment>
    <comment ref="M20" authorId="0" shapeId="0" xr:uid="{4CB23249-4A12-438A-8037-2B8BB8541EEC}">
      <text>
        <r>
          <rPr>
            <sz val="9"/>
            <color indexed="81"/>
            <rFont val="Tahoma"/>
            <family val="2"/>
          </rPr>
          <t>Labor costs taken from FSG</t>
        </r>
      </text>
    </comment>
    <comment ref="H22" authorId="1" shapeId="0" xr:uid="{FB5C705F-0B9E-468A-9201-540961BC14C9}">
      <text>
        <r>
          <rPr>
            <b/>
            <sz val="9"/>
            <color indexed="81"/>
            <rFont val="Tahoma"/>
            <family val="2"/>
          </rPr>
          <t>Note:</t>
        </r>
        <r>
          <rPr>
            <sz val="9"/>
            <color indexed="81"/>
            <rFont val="Tahoma"/>
            <family val="2"/>
          </rPr>
          <t xml:space="preserve">
Cost of sensors, wall switch,  repeater plus "the brain" of the system and commissioning</t>
        </r>
      </text>
    </comment>
    <comment ref="M22" authorId="1" shapeId="0" xr:uid="{BC15DF3D-505C-4C71-8092-62D37CDC4239}">
      <text>
        <r>
          <rPr>
            <sz val="9"/>
            <color indexed="81"/>
            <rFont val="Tahoma"/>
            <family val="2"/>
          </rPr>
          <t>Labor cost for control system equal to 
4 hours at $115 per hour. Values provided by Facility Solutions Group (FSG).</t>
        </r>
      </text>
    </comment>
    <comment ref="I28" authorId="0" shapeId="0" xr:uid="{BFD598C5-67E4-44E0-A125-566C8055399E}">
      <text>
        <r>
          <rPr>
            <sz val="9"/>
            <color indexed="81"/>
            <rFont val="Tahoma"/>
            <family val="2"/>
          </rPr>
          <t>ED = Electrical Distributor 
This column is used to account for the markup applied by the</t>
        </r>
        <r>
          <rPr>
            <b/>
            <sz val="9"/>
            <color indexed="81"/>
            <rFont val="Tahoma"/>
            <family val="2"/>
          </rPr>
          <t xml:space="preserve"> electrical distributor</t>
        </r>
        <r>
          <rPr>
            <sz val="9"/>
            <color indexed="81"/>
            <rFont val="Tahoma"/>
            <family val="2"/>
          </rPr>
          <t xml:space="preserve">.
</t>
        </r>
      </text>
    </comment>
    <comment ref="J28" authorId="0" shapeId="0" xr:uid="{9B4F7704-1708-4C4F-AF00-FB0BA714058C}">
      <text>
        <r>
          <rPr>
            <sz val="9"/>
            <color indexed="81"/>
            <rFont val="Tahoma"/>
            <family val="2"/>
          </rPr>
          <t xml:space="preserve">ED = Electrical Contractor 
This column is used to account for the markup applied by the </t>
        </r>
        <r>
          <rPr>
            <b/>
            <sz val="9"/>
            <color indexed="81"/>
            <rFont val="Tahoma"/>
            <family val="2"/>
          </rPr>
          <t>electrical contractor</t>
        </r>
        <r>
          <rPr>
            <sz val="9"/>
            <color indexed="81"/>
            <rFont val="Tahoma"/>
            <family val="2"/>
          </rPr>
          <t xml:space="preserve">.
</t>
        </r>
      </text>
    </comment>
    <comment ref="N28" authorId="0" shapeId="0" xr:uid="{5028CB86-93FE-42E2-8EE3-000D8A1FC572}">
      <text>
        <r>
          <rPr>
            <sz val="9"/>
            <color indexed="81"/>
            <rFont val="Tahoma"/>
            <family val="2"/>
          </rPr>
          <t xml:space="preserve">Labor costs taken from RS Means include labor markups that vary by product type. This column is included to allow the application of a uniform labor markup. 
</t>
        </r>
      </text>
    </comment>
    <comment ref="H29" authorId="0" shapeId="0" xr:uid="{62AF5E7A-E194-4FB4-A91A-EC83F02C24CE}">
      <text>
        <r>
          <rPr>
            <sz val="9"/>
            <color indexed="81"/>
            <rFont val="Tahoma"/>
            <family val="2"/>
          </rPr>
          <t>DN = Distributor Net 
DN price represents the incurred cost to consumers.</t>
        </r>
      </text>
    </comment>
    <comment ref="M29" authorId="0" shapeId="0" xr:uid="{C666409C-37B5-476C-AF46-25492BD13F4E}">
      <text>
        <r>
          <rPr>
            <sz val="9"/>
            <color indexed="81"/>
            <rFont val="Tahoma"/>
            <family val="2"/>
          </rPr>
          <t>Labor costs taken from FSG</t>
        </r>
      </text>
    </comment>
    <comment ref="M30" authorId="1" shapeId="0" xr:uid="{48988BBC-7B7D-4016-B31D-70A0AC94CDF2}">
      <text>
        <r>
          <rPr>
            <b/>
            <sz val="9"/>
            <color indexed="81"/>
            <rFont val="Tahoma"/>
            <family val="2"/>
          </rPr>
          <t>Valeria Holland:</t>
        </r>
        <r>
          <rPr>
            <sz val="9"/>
            <color indexed="81"/>
            <rFont val="Tahoma"/>
            <family val="2"/>
          </rPr>
          <t xml:space="preserve">
Labor cost + truck rental cost</t>
        </r>
      </text>
    </comment>
    <comment ref="M31" authorId="1" shapeId="0" xr:uid="{5A0EE6EA-CF58-417D-A03A-2F51CCD0A3C3}">
      <text>
        <r>
          <rPr>
            <sz val="9"/>
            <color indexed="81"/>
            <rFont val="Tahoma"/>
            <family val="2"/>
          </rPr>
          <t>Labor cost for control system equal to 
4 hours at $115 per hour. Values provided by Facility Solutions Group (FSG).</t>
        </r>
      </text>
    </comment>
    <comment ref="I37" authorId="0" shapeId="0" xr:uid="{E7B9ACF6-4FC3-4173-B2AC-785975EDBD1B}">
      <text>
        <r>
          <rPr>
            <sz val="9"/>
            <color indexed="81"/>
            <rFont val="Tahoma"/>
            <family val="2"/>
          </rPr>
          <t>ED = Electrical Distributor 
This column is used to account for the markup applied by the</t>
        </r>
        <r>
          <rPr>
            <b/>
            <sz val="9"/>
            <color indexed="81"/>
            <rFont val="Tahoma"/>
            <family val="2"/>
          </rPr>
          <t xml:space="preserve"> electrical distributor</t>
        </r>
        <r>
          <rPr>
            <sz val="9"/>
            <color indexed="81"/>
            <rFont val="Tahoma"/>
            <family val="2"/>
          </rPr>
          <t xml:space="preserve">.
</t>
        </r>
      </text>
    </comment>
    <comment ref="J37" authorId="0" shapeId="0" xr:uid="{B3A7E0D3-4A1C-4402-802A-9157CFF80204}">
      <text>
        <r>
          <rPr>
            <sz val="9"/>
            <color indexed="81"/>
            <rFont val="Tahoma"/>
            <family val="2"/>
          </rPr>
          <t xml:space="preserve">ED = Electrical Contractor 
This column is used to account for the markup applied by the </t>
        </r>
        <r>
          <rPr>
            <b/>
            <sz val="9"/>
            <color indexed="81"/>
            <rFont val="Tahoma"/>
            <family val="2"/>
          </rPr>
          <t>electrical contractor</t>
        </r>
        <r>
          <rPr>
            <sz val="9"/>
            <color indexed="81"/>
            <rFont val="Tahoma"/>
            <family val="2"/>
          </rPr>
          <t xml:space="preserve">.
</t>
        </r>
      </text>
    </comment>
    <comment ref="N37" authorId="0" shapeId="0" xr:uid="{80543617-E266-4D42-B18C-68707E091714}">
      <text>
        <r>
          <rPr>
            <sz val="9"/>
            <color indexed="81"/>
            <rFont val="Tahoma"/>
            <family val="2"/>
          </rPr>
          <t xml:space="preserve">Labor costs taken from RS Means include labor markups that vary by product type. This column is included to allow the application of a uniform labor markup. 
</t>
        </r>
      </text>
    </comment>
    <comment ref="H38" authorId="0" shapeId="0" xr:uid="{161027E4-5285-49A8-9ED1-EDA7ACE2DB62}">
      <text>
        <r>
          <rPr>
            <sz val="9"/>
            <color indexed="81"/>
            <rFont val="Tahoma"/>
            <family val="2"/>
          </rPr>
          <t>DN = Distributor Net 
DN price represents the incurred cost to consumers.</t>
        </r>
      </text>
    </comment>
    <comment ref="M38" authorId="0" shapeId="0" xr:uid="{CAE50205-4C42-4EC9-A158-5A79B4201280}">
      <text>
        <r>
          <rPr>
            <sz val="9"/>
            <color indexed="81"/>
            <rFont val="Tahoma"/>
            <family val="2"/>
          </rPr>
          <t>Labor costs taken from FSG</t>
        </r>
      </text>
    </comment>
    <comment ref="M40" authorId="1" shapeId="0" xr:uid="{2AC97B84-C2B4-4556-AF1E-26F96D731058}">
      <text>
        <r>
          <rPr>
            <sz val="9"/>
            <color indexed="81"/>
            <rFont val="Tahoma"/>
            <family val="2"/>
          </rPr>
          <t>Labor cost for control system equal to 
4 hours at $115 per hour. Values provided by Facility Solutions Group (FSG).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Tony Esposito</author>
    <author>Valeria Holland</author>
  </authors>
  <commentList>
    <comment ref="I4" authorId="0" shapeId="0" xr:uid="{BBA57E88-D907-42E9-9F98-C9B702E2305C}">
      <text>
        <r>
          <rPr>
            <sz val="9"/>
            <color indexed="81"/>
            <rFont val="Tahoma"/>
            <family val="2"/>
          </rPr>
          <t>ED = Electrical Distributor 
This column is used to account for the markup applied by the</t>
        </r>
        <r>
          <rPr>
            <b/>
            <sz val="9"/>
            <color indexed="81"/>
            <rFont val="Tahoma"/>
            <family val="2"/>
          </rPr>
          <t xml:space="preserve"> electrical distributor</t>
        </r>
        <r>
          <rPr>
            <sz val="9"/>
            <color indexed="81"/>
            <rFont val="Tahoma"/>
            <family val="2"/>
          </rPr>
          <t xml:space="preserve">.
</t>
        </r>
      </text>
    </comment>
    <comment ref="J4" authorId="0" shapeId="0" xr:uid="{0AF11B1E-D9C8-40A9-B0ED-E30F35FBC08E}">
      <text>
        <r>
          <rPr>
            <sz val="9"/>
            <color indexed="81"/>
            <rFont val="Tahoma"/>
            <family val="2"/>
          </rPr>
          <t xml:space="preserve">ED = Electrical Contractor 
This column is used to account for the markup applied by the </t>
        </r>
        <r>
          <rPr>
            <b/>
            <sz val="9"/>
            <color indexed="81"/>
            <rFont val="Tahoma"/>
            <family val="2"/>
          </rPr>
          <t>electrical contractor</t>
        </r>
        <r>
          <rPr>
            <sz val="9"/>
            <color indexed="81"/>
            <rFont val="Tahoma"/>
            <family val="2"/>
          </rPr>
          <t xml:space="preserve">.
</t>
        </r>
      </text>
    </comment>
    <comment ref="N4" authorId="0" shapeId="0" xr:uid="{87733A0C-528A-4314-826E-ACB1A04625B8}">
      <text>
        <r>
          <rPr>
            <sz val="9"/>
            <color indexed="81"/>
            <rFont val="Tahoma"/>
            <family val="2"/>
          </rPr>
          <t xml:space="preserve">Labor costs taken from RS Means include labor markups that vary by product type. This column is included to allow the application of a uniform labor markup. 
</t>
        </r>
      </text>
    </comment>
    <comment ref="H5" authorId="0" shapeId="0" xr:uid="{0DD30CE0-BB81-49CA-91D3-FA2267A852EE}">
      <text>
        <r>
          <rPr>
            <sz val="9"/>
            <color indexed="81"/>
            <rFont val="Tahoma"/>
            <family val="2"/>
          </rPr>
          <t>DN = Distributor Net 
DN price represents the incurred cost to consumers.</t>
        </r>
      </text>
    </comment>
    <comment ref="M5" authorId="0" shapeId="0" xr:uid="{BF473D1B-A8DA-46B7-BBBA-644A65AE6474}">
      <text>
        <r>
          <rPr>
            <sz val="9"/>
            <color indexed="81"/>
            <rFont val="Tahoma"/>
            <family val="2"/>
          </rPr>
          <t>Labor costs taken from FSG</t>
        </r>
      </text>
    </comment>
    <comment ref="H17" authorId="1" shapeId="0" xr:uid="{E6378AFD-E791-4B26-844A-36123BB891F3}">
      <text>
        <r>
          <rPr>
            <b/>
            <sz val="9"/>
            <color indexed="81"/>
            <rFont val="Tahoma"/>
            <family val="2"/>
          </rPr>
          <t>Valeria Holland:</t>
        </r>
        <r>
          <rPr>
            <sz val="9"/>
            <color indexed="81"/>
            <rFont val="Tahoma"/>
            <family val="2"/>
          </rPr>
          <t xml:space="preserve">
Note:
Cost of sensors, wall switch, relays, repeater plus "the brain" of the system and commissioning</t>
        </r>
      </text>
    </comment>
    <comment ref="M17" authorId="1" shapeId="0" xr:uid="{5907E549-3AD8-4A32-B87B-11EABD0DE86A}">
      <text>
        <r>
          <rPr>
            <sz val="9"/>
            <color indexed="81"/>
            <rFont val="Tahoma"/>
            <family val="2"/>
          </rPr>
          <t>Labor cost for control system equal to 
4 hours at $115 per hour. Values provided by Facility Solutions Group (FSG).</t>
        </r>
      </text>
    </comment>
    <comment ref="I23" authorId="0" shapeId="0" xr:uid="{8EBB0CF5-9AA9-4B21-86CA-04828E770190}">
      <text>
        <r>
          <rPr>
            <sz val="9"/>
            <color indexed="81"/>
            <rFont val="Tahoma"/>
            <family val="2"/>
          </rPr>
          <t>ED = Electrical Distributor 
This column is used to account for the markup applied by the</t>
        </r>
        <r>
          <rPr>
            <b/>
            <sz val="9"/>
            <color indexed="81"/>
            <rFont val="Tahoma"/>
            <family val="2"/>
          </rPr>
          <t xml:space="preserve"> electrical distributor</t>
        </r>
        <r>
          <rPr>
            <sz val="9"/>
            <color indexed="81"/>
            <rFont val="Tahoma"/>
            <family val="2"/>
          </rPr>
          <t xml:space="preserve">.
</t>
        </r>
      </text>
    </comment>
    <comment ref="J23" authorId="0" shapeId="0" xr:uid="{16711012-D7F0-4FF1-B7CA-70EBA63FDEBD}">
      <text>
        <r>
          <rPr>
            <sz val="9"/>
            <color indexed="81"/>
            <rFont val="Tahoma"/>
            <family val="2"/>
          </rPr>
          <t xml:space="preserve">ED = Electrical Contractor 
This column is used to account for the markup applied by the </t>
        </r>
        <r>
          <rPr>
            <b/>
            <sz val="9"/>
            <color indexed="81"/>
            <rFont val="Tahoma"/>
            <family val="2"/>
          </rPr>
          <t>electrical contractor</t>
        </r>
        <r>
          <rPr>
            <sz val="9"/>
            <color indexed="81"/>
            <rFont val="Tahoma"/>
            <family val="2"/>
          </rPr>
          <t xml:space="preserve">.
</t>
        </r>
      </text>
    </comment>
    <comment ref="N23" authorId="0" shapeId="0" xr:uid="{842CC7C1-AFFF-4916-A269-0AB676E89C54}">
      <text>
        <r>
          <rPr>
            <sz val="9"/>
            <color indexed="81"/>
            <rFont val="Tahoma"/>
            <family val="2"/>
          </rPr>
          <t xml:space="preserve">Labor costs taken from RS Means include labor markups that vary by product type. This column is included to allow the application of a uniform labor markup. 
</t>
        </r>
      </text>
    </comment>
    <comment ref="H24" authorId="0" shapeId="0" xr:uid="{F4F64E6A-DB11-482E-A1C4-A821F626395C}">
      <text>
        <r>
          <rPr>
            <sz val="9"/>
            <color indexed="81"/>
            <rFont val="Tahoma"/>
            <family val="2"/>
          </rPr>
          <t>DN = Distributor Net 
DN price represents the incurred cost to consumers.</t>
        </r>
      </text>
    </comment>
    <comment ref="M24" authorId="0" shapeId="0" xr:uid="{6C7C9C85-4F7F-4957-B27B-ACD13C55DDFD}">
      <text>
        <r>
          <rPr>
            <sz val="9"/>
            <color indexed="81"/>
            <rFont val="Tahoma"/>
            <family val="2"/>
          </rPr>
          <t>Labor costs taken from FSG</t>
        </r>
      </text>
    </comment>
    <comment ref="H26" authorId="1" shapeId="0" xr:uid="{58E97351-052C-4C79-AA18-8F528CA8C938}">
      <text>
        <r>
          <rPr>
            <b/>
            <sz val="9"/>
            <color indexed="81"/>
            <rFont val="Tahoma"/>
            <family val="2"/>
          </rPr>
          <t xml:space="preserve">Note: 
</t>
        </r>
        <r>
          <rPr>
            <sz val="9"/>
            <color indexed="81"/>
            <rFont val="Tahoma"/>
            <family val="2"/>
          </rPr>
          <t>Cost of sensors, wall switch,  repeater plus "the brain" of the system and commissioning</t>
        </r>
      </text>
    </comment>
    <comment ref="M26" authorId="1" shapeId="0" xr:uid="{EE015CF9-9306-4582-8A31-B4E8361C56A8}">
      <text>
        <r>
          <rPr>
            <sz val="9"/>
            <color indexed="81"/>
            <rFont val="Tahoma"/>
            <family val="2"/>
          </rPr>
          <t>Labor cost for control system equal to 
4 hours at $115 per hour. Values provided by Facility Solutions Group (FSG).</t>
        </r>
      </text>
    </comment>
    <comment ref="I32" authorId="0" shapeId="0" xr:uid="{9F50C416-6C39-492E-873C-3C1ACD1682F4}">
      <text>
        <r>
          <rPr>
            <sz val="9"/>
            <color indexed="81"/>
            <rFont val="Tahoma"/>
            <family val="2"/>
          </rPr>
          <t>ED = Electrical Distributor 
This column is used to account for the markup applied by the</t>
        </r>
        <r>
          <rPr>
            <b/>
            <sz val="9"/>
            <color indexed="81"/>
            <rFont val="Tahoma"/>
            <family val="2"/>
          </rPr>
          <t xml:space="preserve"> electrical distributor</t>
        </r>
        <r>
          <rPr>
            <sz val="9"/>
            <color indexed="81"/>
            <rFont val="Tahoma"/>
            <family val="2"/>
          </rPr>
          <t xml:space="preserve">.
</t>
        </r>
      </text>
    </comment>
    <comment ref="J32" authorId="0" shapeId="0" xr:uid="{76BB2C20-A3EF-4B5F-9A72-380956F52F0B}">
      <text>
        <r>
          <rPr>
            <sz val="9"/>
            <color indexed="81"/>
            <rFont val="Tahoma"/>
            <family val="2"/>
          </rPr>
          <t xml:space="preserve">ED = Electrical Contractor 
This column is used to account for the markup applied by the </t>
        </r>
        <r>
          <rPr>
            <b/>
            <sz val="9"/>
            <color indexed="81"/>
            <rFont val="Tahoma"/>
            <family val="2"/>
          </rPr>
          <t>electrical contractor</t>
        </r>
        <r>
          <rPr>
            <sz val="9"/>
            <color indexed="81"/>
            <rFont val="Tahoma"/>
            <family val="2"/>
          </rPr>
          <t xml:space="preserve">.
</t>
        </r>
      </text>
    </comment>
    <comment ref="N32" authorId="0" shapeId="0" xr:uid="{A7042871-3E5E-4355-B015-5069139BBA27}">
      <text>
        <r>
          <rPr>
            <sz val="9"/>
            <color indexed="81"/>
            <rFont val="Tahoma"/>
            <family val="2"/>
          </rPr>
          <t xml:space="preserve">Labor costs taken from RS Means include labor markups that vary by product type. This column is included to allow the application of a uniform labor markup. 
</t>
        </r>
      </text>
    </comment>
    <comment ref="H33" authorId="0" shapeId="0" xr:uid="{74C32081-9FC3-4D71-A16C-0818AC255B4A}">
      <text>
        <r>
          <rPr>
            <sz val="9"/>
            <color indexed="81"/>
            <rFont val="Tahoma"/>
            <family val="2"/>
          </rPr>
          <t>DN = Distributor Net 
DN price represents the incurred cost to consumers.</t>
        </r>
      </text>
    </comment>
    <comment ref="M33" authorId="0" shapeId="0" xr:uid="{69897392-C304-4B0D-81C7-AC774E04FA6A}">
      <text>
        <r>
          <rPr>
            <sz val="9"/>
            <color indexed="81"/>
            <rFont val="Tahoma"/>
            <family val="2"/>
          </rPr>
          <t>Labor costs taken from FSG</t>
        </r>
      </text>
    </comment>
    <comment ref="M34" authorId="1" shapeId="0" xr:uid="{B7C5FB05-4666-476E-AF3A-D8EAB5B35B16}">
      <text>
        <r>
          <rPr>
            <b/>
            <sz val="9"/>
            <color indexed="81"/>
            <rFont val="Tahoma"/>
            <family val="2"/>
          </rPr>
          <t>Valeria Holland:</t>
        </r>
        <r>
          <rPr>
            <sz val="9"/>
            <color indexed="81"/>
            <rFont val="Tahoma"/>
            <family val="2"/>
          </rPr>
          <t xml:space="preserve">
Labor cost + truck rental cost</t>
        </r>
      </text>
    </comment>
    <comment ref="M35" authorId="1" shapeId="0" xr:uid="{7C457FAC-8DCB-4203-B36F-F67E5E5807E7}">
      <text>
        <r>
          <rPr>
            <sz val="9"/>
            <color indexed="81"/>
            <rFont val="Tahoma"/>
            <family val="2"/>
          </rPr>
          <t>Labor cost for control system equal to 
4 hours at $115 per hour. Values provided by Facility Solutions Group (FSG).</t>
        </r>
      </text>
    </comment>
    <comment ref="I41" authorId="0" shapeId="0" xr:uid="{192475C6-9162-4A43-A036-FBC0A3F8E7F6}">
      <text>
        <r>
          <rPr>
            <sz val="9"/>
            <color indexed="81"/>
            <rFont val="Tahoma"/>
            <family val="2"/>
          </rPr>
          <t>ED = Electrical Distributor 
This column is used to account for the markup applied by the</t>
        </r>
        <r>
          <rPr>
            <b/>
            <sz val="9"/>
            <color indexed="81"/>
            <rFont val="Tahoma"/>
            <family val="2"/>
          </rPr>
          <t xml:space="preserve"> electrical distributor</t>
        </r>
        <r>
          <rPr>
            <sz val="9"/>
            <color indexed="81"/>
            <rFont val="Tahoma"/>
            <family val="2"/>
          </rPr>
          <t xml:space="preserve">.
</t>
        </r>
      </text>
    </comment>
    <comment ref="J41" authorId="0" shapeId="0" xr:uid="{CC6987CB-5FEF-45C1-8063-858DDB053831}">
      <text>
        <r>
          <rPr>
            <sz val="9"/>
            <color indexed="81"/>
            <rFont val="Tahoma"/>
            <family val="2"/>
          </rPr>
          <t xml:space="preserve">ED = Electrical Contractor 
This column is used to account for the markup applied by the </t>
        </r>
        <r>
          <rPr>
            <b/>
            <sz val="9"/>
            <color indexed="81"/>
            <rFont val="Tahoma"/>
            <family val="2"/>
          </rPr>
          <t>electrical contractor</t>
        </r>
        <r>
          <rPr>
            <sz val="9"/>
            <color indexed="81"/>
            <rFont val="Tahoma"/>
            <family val="2"/>
          </rPr>
          <t xml:space="preserve">.
</t>
        </r>
      </text>
    </comment>
    <comment ref="N41" authorId="0" shapeId="0" xr:uid="{4DDE032A-1FBC-4376-8353-4BE9436A7BE9}">
      <text>
        <r>
          <rPr>
            <sz val="9"/>
            <color indexed="81"/>
            <rFont val="Tahoma"/>
            <family val="2"/>
          </rPr>
          <t xml:space="preserve">Labor costs taken from RS Means include labor markups that vary by product type. This column is included to allow the application of a uniform labor markup. 
</t>
        </r>
      </text>
    </comment>
    <comment ref="H42" authorId="0" shapeId="0" xr:uid="{2C73CD2E-7B39-4876-AA91-7DE6D9D83383}">
      <text>
        <r>
          <rPr>
            <sz val="9"/>
            <color indexed="81"/>
            <rFont val="Tahoma"/>
            <family val="2"/>
          </rPr>
          <t>DN = Distributor Net 
DN price represents the incurred cost to consumers.</t>
        </r>
      </text>
    </comment>
    <comment ref="M42" authorId="0" shapeId="0" xr:uid="{62D33077-8C8A-4518-B625-A3888F9E6558}">
      <text>
        <r>
          <rPr>
            <sz val="9"/>
            <color indexed="81"/>
            <rFont val="Tahoma"/>
            <family val="2"/>
          </rPr>
          <t>Labor costs taken from FSG</t>
        </r>
      </text>
    </comment>
    <comment ref="M44" authorId="1" shapeId="0" xr:uid="{E501024C-9AD9-42EF-A565-2EC09F88A55E}">
      <text>
        <r>
          <rPr>
            <sz val="9"/>
            <color indexed="81"/>
            <rFont val="Tahoma"/>
            <family val="2"/>
          </rPr>
          <t>Labor cost for control system equal to 
4 hours at $115 per hour. Values provided by Facility Solutions Group (FSG).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Valeria Holland</author>
    <author>Tony Esposito</author>
  </authors>
  <commentList>
    <comment ref="I5" authorId="0" shapeId="0" xr:uid="{6D4EF812-CC42-4E38-B444-60BA49EE9819}">
      <text>
        <r>
          <rPr>
            <b/>
            <sz val="9"/>
            <color indexed="81"/>
            <rFont val="Tahoma"/>
            <family val="2"/>
          </rPr>
          <t>Valeria Holland:</t>
        </r>
        <r>
          <rPr>
            <sz val="9"/>
            <color indexed="81"/>
            <rFont val="Tahoma"/>
            <family val="2"/>
          </rPr>
          <t xml:space="preserve">
Average HID lamp cost from FSG</t>
        </r>
      </text>
    </comment>
    <comment ref="J5" authorId="1" shapeId="0" xr:uid="{FBD5B03D-6C29-49FA-AF4E-0148D71F6773}">
      <text>
        <r>
          <rPr>
            <sz val="9"/>
            <color indexed="81"/>
            <rFont val="Tahoma"/>
            <family val="2"/>
          </rPr>
          <t>Labor costs taken from 
FSG</t>
        </r>
      </text>
    </comment>
    <comment ref="K5" authorId="1" shapeId="0" xr:uid="{4C96CC02-765F-4D05-9CA4-E76CF384C17C}">
      <text>
        <r>
          <rPr>
            <sz val="9"/>
            <color indexed="81"/>
            <rFont val="Tahoma"/>
            <family val="2"/>
          </rPr>
          <t xml:space="preserve">Labor costs taken from RS Means include labor markups that vary by product type. This column is included to allow the application of a uniform labor markup. 
</t>
        </r>
      </text>
    </comment>
    <comment ref="O5" authorId="0" shapeId="0" xr:uid="{E65D19A8-AA5E-4466-B86C-3295450F4FCF}">
      <text>
        <r>
          <rPr>
            <b/>
            <sz val="9"/>
            <color indexed="81"/>
            <rFont val="Tahoma"/>
            <family val="2"/>
          </rPr>
          <t>Valeria Holland:</t>
        </r>
        <r>
          <rPr>
            <sz val="9"/>
            <color indexed="81"/>
            <rFont val="Tahoma"/>
            <family val="2"/>
          </rPr>
          <t xml:space="preserve">
Average ballast cost from FSG</t>
        </r>
      </text>
    </comment>
    <comment ref="P5" authorId="1" shapeId="0" xr:uid="{37EAFCA9-26DA-4EB1-B998-F7E6CBCDF2D0}">
      <text>
        <r>
          <rPr>
            <sz val="9"/>
            <color indexed="81"/>
            <rFont val="Tahoma"/>
            <family val="2"/>
          </rPr>
          <t>Ballasts are replaced at the time of relamping, using 30 additional minutes, so only half of the  relamping labor cost is incurred</t>
        </r>
      </text>
    </comment>
    <comment ref="Q5" authorId="1" shapeId="0" xr:uid="{16518632-52F9-41F3-96C2-F0B5166CAA38}">
      <text>
        <r>
          <rPr>
            <sz val="9"/>
            <color indexed="81"/>
            <rFont val="Tahoma"/>
            <family val="2"/>
          </rPr>
          <t xml:space="preserve">Labor costs taken from RS Means include labor markups that vary by product type. This column is included to allow the application of a uniform labor markup. 
</t>
        </r>
      </text>
    </comment>
    <comment ref="T5" authorId="1" shapeId="0" xr:uid="{AD04DF28-99F8-4520-84A2-6AEA2AFE1A18}">
      <text>
        <r>
          <rPr>
            <sz val="9"/>
            <color indexed="81"/>
            <rFont val="Tahoma"/>
            <family val="2"/>
          </rPr>
          <t xml:space="preserve">According to FSG, the HID fixtures are almost never cleaned.
</t>
        </r>
      </text>
    </comment>
    <comment ref="U5" authorId="1" shapeId="0" xr:uid="{76CC3A3B-1CB5-40B1-9C81-C793F9CC0B0C}">
      <text>
        <r>
          <rPr>
            <sz val="9"/>
            <color indexed="81"/>
            <rFont val="Tahoma"/>
            <family val="2"/>
          </rPr>
          <t>Fixtures are cleaned at the time of relamping, using 30 additional minutes, so only half of the  relamping labor cost is incurred</t>
        </r>
      </text>
    </comment>
    <comment ref="V5" authorId="1" shapeId="0" xr:uid="{8DCC8631-2DFA-4B33-9707-B40556499583}">
      <text>
        <r>
          <rPr>
            <sz val="9"/>
            <color indexed="81"/>
            <rFont val="Tahoma"/>
            <family val="2"/>
          </rPr>
          <t xml:space="preserve">Labor costs taken from RS Means include labor markups that vary by product type. This column is included to allow the application of a uniform labor markup. 
</t>
        </r>
      </text>
    </comment>
    <comment ref="I19" authorId="0" shapeId="0" xr:uid="{0317A859-A9CE-46A7-B178-DF2BD509BE6C}">
      <text>
        <r>
          <rPr>
            <b/>
            <sz val="9"/>
            <color indexed="81"/>
            <rFont val="Tahoma"/>
            <family val="2"/>
          </rPr>
          <t>Valeria Holland:</t>
        </r>
        <r>
          <rPr>
            <sz val="9"/>
            <color indexed="81"/>
            <rFont val="Tahoma"/>
            <family val="2"/>
          </rPr>
          <t xml:space="preserve">
Average HID lamp cost from FSG</t>
        </r>
      </text>
    </comment>
    <comment ref="J19" authorId="1" shapeId="0" xr:uid="{BE2077FD-0A56-454D-9202-530C782DD5D3}">
      <text>
        <r>
          <rPr>
            <sz val="9"/>
            <color indexed="81"/>
            <rFont val="Tahoma"/>
            <family val="2"/>
          </rPr>
          <t>Labor costs taken from FSG</t>
        </r>
      </text>
    </comment>
    <comment ref="K19" authorId="1" shapeId="0" xr:uid="{8A50625E-BC99-4251-BC49-CCC61E25AF84}">
      <text>
        <r>
          <rPr>
            <sz val="9"/>
            <color indexed="81"/>
            <rFont val="Tahoma"/>
            <family val="2"/>
          </rPr>
          <t xml:space="preserve">Labor costs taken from RS Means include labor markups that vary by product type. This column is included to allow the application of a uniform labor markup. 
</t>
        </r>
      </text>
    </comment>
    <comment ref="O19" authorId="0" shapeId="0" xr:uid="{B17678CA-00BE-4EC9-A584-64D249CDEEC2}">
      <text>
        <r>
          <rPr>
            <b/>
            <sz val="9"/>
            <color indexed="81"/>
            <rFont val="Tahoma"/>
            <family val="2"/>
          </rPr>
          <t>Valeria Holland:</t>
        </r>
        <r>
          <rPr>
            <sz val="9"/>
            <color indexed="81"/>
            <rFont val="Tahoma"/>
            <family val="2"/>
          </rPr>
          <t xml:space="preserve">
Average ballast cost from FSG</t>
        </r>
      </text>
    </comment>
    <comment ref="P19" authorId="1" shapeId="0" xr:uid="{EAFB663D-EB72-4ABA-B290-D663A3FB84E5}">
      <text>
        <r>
          <rPr>
            <sz val="9"/>
            <color indexed="81"/>
            <rFont val="Tahoma"/>
            <family val="2"/>
          </rPr>
          <t>Ballasts are replaced at the time of relamping, using 30 additional minutes, so only half of the  relamping labor cost is incurred</t>
        </r>
      </text>
    </comment>
    <comment ref="Q19" authorId="1" shapeId="0" xr:uid="{934C2D21-AAB5-46F5-BFB4-3E104FE3B2B6}">
      <text>
        <r>
          <rPr>
            <sz val="9"/>
            <color indexed="81"/>
            <rFont val="Tahoma"/>
            <family val="2"/>
          </rPr>
          <t xml:space="preserve">Labor costs taken from RS Means include labor markups that vary by product type. This column is included to allow the application of a uniform labor markup. 
</t>
        </r>
      </text>
    </comment>
    <comment ref="T19" authorId="1" shapeId="0" xr:uid="{34E6D22F-C808-4E29-BB5D-D05FDC95DC58}">
      <text>
        <r>
          <rPr>
            <sz val="9"/>
            <color indexed="81"/>
            <rFont val="Tahoma"/>
            <family val="2"/>
          </rPr>
          <t xml:space="preserve">According to FSG, the HID fixtures are almost never cleaned.
</t>
        </r>
      </text>
    </comment>
    <comment ref="U19" authorId="1" shapeId="0" xr:uid="{9FA2F0E5-B6EE-417F-8CF8-776BEA71C1EB}">
      <text>
        <r>
          <rPr>
            <sz val="9"/>
            <color indexed="81"/>
            <rFont val="Tahoma"/>
            <family val="2"/>
          </rPr>
          <t>Fixtures are cleaned at the time of relamping, using 30 additional minutes, so only half of the  relamping labor cost is incurred</t>
        </r>
      </text>
    </comment>
    <comment ref="V19" authorId="1" shapeId="0" xr:uid="{37DD390E-725D-42A9-BFC6-E1149FA9EA0B}">
      <text>
        <r>
          <rPr>
            <sz val="9"/>
            <color indexed="81"/>
            <rFont val="Tahoma"/>
            <family val="2"/>
          </rPr>
          <t xml:space="preserve">Labor costs taken from RS Means include labor markups that vary by product type. This column is included to allow the application of a uniform labor markup. 
</t>
        </r>
      </text>
    </comment>
    <comment ref="I27" authorId="0" shapeId="0" xr:uid="{97AED46C-EF53-43DD-B4A4-5BB265221213}">
      <text>
        <r>
          <rPr>
            <b/>
            <sz val="9"/>
            <color indexed="81"/>
            <rFont val="Tahoma"/>
            <family val="2"/>
          </rPr>
          <t>Valeria Holland:</t>
        </r>
        <r>
          <rPr>
            <sz val="9"/>
            <color indexed="81"/>
            <rFont val="Tahoma"/>
            <family val="2"/>
          </rPr>
          <t xml:space="preserve">
Average HID lamp cost from FSG</t>
        </r>
      </text>
    </comment>
    <comment ref="J27" authorId="1" shapeId="0" xr:uid="{2D216F16-F91F-4CC2-A788-40C87FE78512}">
      <text>
        <r>
          <rPr>
            <sz val="9"/>
            <color indexed="81"/>
            <rFont val="Tahoma"/>
            <family val="2"/>
          </rPr>
          <t>Labor costs taken from 
FSG</t>
        </r>
      </text>
    </comment>
    <comment ref="K27" authorId="1" shapeId="0" xr:uid="{F85B5ECE-CB55-4CD4-A4A0-17FF7C847C44}">
      <text>
        <r>
          <rPr>
            <sz val="9"/>
            <color indexed="81"/>
            <rFont val="Tahoma"/>
            <family val="2"/>
          </rPr>
          <t xml:space="preserve">Labor costs taken from RS Means include labor markups that vary by product type. This column is included to allow the application of a uniform labor markup. 
</t>
        </r>
      </text>
    </comment>
    <comment ref="O27" authorId="0" shapeId="0" xr:uid="{39FB1FC0-B574-4D40-9BE9-5C479DC6B217}">
      <text>
        <r>
          <rPr>
            <b/>
            <sz val="9"/>
            <color indexed="81"/>
            <rFont val="Tahoma"/>
            <family val="2"/>
          </rPr>
          <t>Valeria Holland:</t>
        </r>
        <r>
          <rPr>
            <sz val="9"/>
            <color indexed="81"/>
            <rFont val="Tahoma"/>
            <family val="2"/>
          </rPr>
          <t xml:space="preserve">
Average ballast cost from FSG</t>
        </r>
      </text>
    </comment>
    <comment ref="P27" authorId="1" shapeId="0" xr:uid="{188DDA98-6110-4762-ADB5-C81633ED3B55}">
      <text>
        <r>
          <rPr>
            <sz val="9"/>
            <color indexed="81"/>
            <rFont val="Tahoma"/>
            <family val="2"/>
          </rPr>
          <t>Ballasts are replaced at the time of relamping, using 30 additional minutes, so only half of the  relamping labor cost is incurred</t>
        </r>
      </text>
    </comment>
    <comment ref="Q27" authorId="1" shapeId="0" xr:uid="{96A5E3D3-E6D2-4F19-9753-AEBE61A0029E}">
      <text>
        <r>
          <rPr>
            <sz val="9"/>
            <color indexed="81"/>
            <rFont val="Tahoma"/>
            <family val="2"/>
          </rPr>
          <t xml:space="preserve">Labor costs taken from RS Means include labor markups that vary by product type. This column is included to allow the application of a uniform labor markup. 
</t>
        </r>
      </text>
    </comment>
    <comment ref="T27" authorId="1" shapeId="0" xr:uid="{074F6FA8-78FF-4450-8E95-9B029CF11E31}">
      <text>
        <r>
          <rPr>
            <sz val="9"/>
            <color indexed="81"/>
            <rFont val="Tahoma"/>
            <family val="2"/>
          </rPr>
          <t xml:space="preserve">According to FSG, the HID fixtures are almost never cleaned.
</t>
        </r>
      </text>
    </comment>
    <comment ref="U27" authorId="1" shapeId="0" xr:uid="{12798C26-53CF-444B-9F02-517D583F37D1}">
      <text>
        <r>
          <rPr>
            <sz val="9"/>
            <color indexed="81"/>
            <rFont val="Tahoma"/>
            <family val="2"/>
          </rPr>
          <t>Fixtures are cleaned at the time of relamping, using 30 additional minutes, so only half of the  relamping labor cost is incurred</t>
        </r>
      </text>
    </comment>
    <comment ref="V27" authorId="1" shapeId="0" xr:uid="{12CA79C3-13CE-4EB6-9151-B1A4218F4485}">
      <text>
        <r>
          <rPr>
            <sz val="9"/>
            <color indexed="81"/>
            <rFont val="Tahoma"/>
            <family val="2"/>
          </rPr>
          <t xml:space="preserve">Labor costs taken from RS Means include labor markups that vary by product type. This column is included to allow the application of a uniform labor markup. 
</t>
        </r>
      </text>
    </comment>
    <comment ref="J28" authorId="0" shapeId="0" xr:uid="{39D6C7C6-FDC8-41CB-814A-8A6068A4CD83}">
      <text>
        <r>
          <rPr>
            <b/>
            <sz val="9"/>
            <color indexed="81"/>
            <rFont val="Tahoma"/>
            <family val="2"/>
          </rPr>
          <t>Valeria Holland:</t>
        </r>
        <r>
          <rPr>
            <sz val="9"/>
            <color indexed="81"/>
            <rFont val="Tahoma"/>
            <family val="2"/>
          </rPr>
          <t xml:space="preserve">
Labor cost + truck rental cost</t>
        </r>
      </text>
    </comment>
    <comment ref="I35" authorId="0" shapeId="0" xr:uid="{5FF6D8CC-E106-491B-835E-573AC864D5D0}">
      <text>
        <r>
          <rPr>
            <b/>
            <sz val="9"/>
            <color indexed="81"/>
            <rFont val="Tahoma"/>
            <family val="2"/>
          </rPr>
          <t>Valeria Holland:</t>
        </r>
        <r>
          <rPr>
            <sz val="9"/>
            <color indexed="81"/>
            <rFont val="Tahoma"/>
            <family val="2"/>
          </rPr>
          <t xml:space="preserve">
Average HID lamp cost from FSG</t>
        </r>
      </text>
    </comment>
    <comment ref="J35" authorId="1" shapeId="0" xr:uid="{838F5AB3-D87A-418F-BCAA-AD1A2FC2497F}">
      <text>
        <r>
          <rPr>
            <sz val="9"/>
            <color indexed="81"/>
            <rFont val="Tahoma"/>
            <family val="2"/>
          </rPr>
          <t>Labor costs taken from 
FSG</t>
        </r>
      </text>
    </comment>
    <comment ref="K35" authorId="1" shapeId="0" xr:uid="{56F6C0F7-02D3-458E-9785-E2D4F95B1140}">
      <text>
        <r>
          <rPr>
            <sz val="9"/>
            <color indexed="81"/>
            <rFont val="Tahoma"/>
            <family val="2"/>
          </rPr>
          <t xml:space="preserve">Labor costs taken from RS Means include labor markups that vary by product type. This column is included to allow the application of a uniform labor markup. 
</t>
        </r>
      </text>
    </comment>
    <comment ref="O35" authorId="0" shapeId="0" xr:uid="{5C532972-BABA-4170-A973-F138CE580D05}">
      <text>
        <r>
          <rPr>
            <b/>
            <sz val="9"/>
            <color indexed="81"/>
            <rFont val="Tahoma"/>
            <family val="2"/>
          </rPr>
          <t>Valeria Holland:</t>
        </r>
        <r>
          <rPr>
            <sz val="9"/>
            <color indexed="81"/>
            <rFont val="Tahoma"/>
            <family val="2"/>
          </rPr>
          <t xml:space="preserve">
Average ballast cost from FSG</t>
        </r>
      </text>
    </comment>
    <comment ref="P35" authorId="1" shapeId="0" xr:uid="{CFAE55ED-96FA-432B-B267-8836BDBDC060}">
      <text>
        <r>
          <rPr>
            <sz val="9"/>
            <color indexed="81"/>
            <rFont val="Tahoma"/>
            <family val="2"/>
          </rPr>
          <t>Ballasts are replaced at the time of relamping, using 30 additional minutes, so only half of the  relamping labor cost is incurred</t>
        </r>
      </text>
    </comment>
    <comment ref="Q35" authorId="1" shapeId="0" xr:uid="{697372B1-8EF3-4630-84E3-D97AB9BD4A79}">
      <text>
        <r>
          <rPr>
            <sz val="9"/>
            <color indexed="81"/>
            <rFont val="Tahoma"/>
            <family val="2"/>
          </rPr>
          <t xml:space="preserve">Labor costs taken from RS Means include labor markups that vary by product type. This column is included to allow the application of a uniform labor markup. 
</t>
        </r>
      </text>
    </comment>
    <comment ref="T35" authorId="1" shapeId="0" xr:uid="{F2F54214-E954-426B-A00B-F2B8143DD508}">
      <text>
        <r>
          <rPr>
            <sz val="9"/>
            <color indexed="81"/>
            <rFont val="Tahoma"/>
            <family val="2"/>
          </rPr>
          <t xml:space="preserve">According to FSG, the HID fixtures are almost never cleaned.
</t>
        </r>
      </text>
    </comment>
    <comment ref="U35" authorId="1" shapeId="0" xr:uid="{0DE9093E-4829-46EC-B377-136D1A6DC46D}">
      <text>
        <r>
          <rPr>
            <sz val="9"/>
            <color indexed="81"/>
            <rFont val="Tahoma"/>
            <family val="2"/>
          </rPr>
          <t>Fixtures are cleaned at the time of relamping, using 30 additional minutes, so only half of the  relamping labor cost is incurred</t>
        </r>
      </text>
    </comment>
    <comment ref="V35" authorId="1" shapeId="0" xr:uid="{919E5011-2C4B-40EA-8E72-72C9B91FF5E2}">
      <text>
        <r>
          <rPr>
            <sz val="9"/>
            <color indexed="81"/>
            <rFont val="Tahoma"/>
            <family val="2"/>
          </rPr>
          <t xml:space="preserve">Labor costs taken from RS Means include labor markups that vary by product type. This column is included to allow the application of a uniform labor markup.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Tony Esposito</author>
    <author>Valeria Holland</author>
  </authors>
  <commentList>
    <comment ref="J5" authorId="0" shapeId="0" xr:uid="{068E082C-7FF9-4405-AE4F-68D8F24B16A5}">
      <text>
        <r>
          <rPr>
            <sz val="9"/>
            <color indexed="81"/>
            <rFont val="Tahoma"/>
            <family val="2"/>
          </rPr>
          <t>Labor costs taken from 
FSG</t>
        </r>
      </text>
    </comment>
    <comment ref="K5" authorId="0" shapeId="0" xr:uid="{93DEFF50-BC4A-45D3-908C-E7BD228E3766}">
      <text>
        <r>
          <rPr>
            <sz val="9"/>
            <color indexed="81"/>
            <rFont val="Tahoma"/>
            <family val="2"/>
          </rPr>
          <t xml:space="preserve">Labor costs taken from RS Means include labor markups that vary by product type. This column is included to allow the application of a uniform labor markup. 
</t>
        </r>
      </text>
    </comment>
    <comment ref="O5" authorId="1" shapeId="0" xr:uid="{76C2359C-EF87-4661-9DC7-947127FC6E30}">
      <text>
        <r>
          <rPr>
            <b/>
            <sz val="9"/>
            <color indexed="81"/>
            <rFont val="Tahoma"/>
            <family val="2"/>
          </rPr>
          <t>Valeria Holland:</t>
        </r>
        <r>
          <rPr>
            <sz val="9"/>
            <color indexed="81"/>
            <rFont val="Tahoma"/>
            <family val="2"/>
          </rPr>
          <t xml:space="preserve">
Average LED driver cost from FSG</t>
        </r>
      </text>
    </comment>
    <comment ref="P5" authorId="0" shapeId="0" xr:uid="{C71903BF-8AEE-4D9A-90A8-8A1AE421100C}">
      <text>
        <r>
          <rPr>
            <sz val="9"/>
            <color indexed="81"/>
            <rFont val="Tahoma"/>
            <family val="2"/>
          </rPr>
          <t>Labor costs taken from 
FSG</t>
        </r>
      </text>
    </comment>
    <comment ref="Q5" authorId="0" shapeId="0" xr:uid="{F661C1CC-4649-4612-9064-40C04BC34F55}">
      <text>
        <r>
          <rPr>
            <sz val="9"/>
            <color indexed="81"/>
            <rFont val="Tahoma"/>
            <family val="2"/>
          </rPr>
          <t xml:space="preserve">Labor costs taken from RS Means include labor markups that vary by product type. This column is included to allow the application of a uniform labor markup. 
</t>
        </r>
      </text>
    </comment>
    <comment ref="T5" authorId="0" shapeId="0" xr:uid="{8267A0CD-F9C5-4A69-8681-29B42D557793}">
      <text>
        <r>
          <rPr>
            <sz val="9"/>
            <color indexed="81"/>
            <rFont val="Tahoma"/>
            <family val="2"/>
          </rPr>
          <t xml:space="preserve">According to FSG, the LED fixtures are almost never cleaned.
</t>
        </r>
      </text>
    </comment>
    <comment ref="U5" authorId="0" shapeId="0" xr:uid="{0A8B483D-1716-45BE-B62A-77A7CB9F5A75}">
      <text>
        <r>
          <rPr>
            <sz val="9"/>
            <color indexed="81"/>
            <rFont val="Tahoma"/>
            <family val="2"/>
          </rPr>
          <t>Labor costs taken from 
FSG</t>
        </r>
      </text>
    </comment>
    <comment ref="V5" authorId="0" shapeId="0" xr:uid="{6EBDFE0B-EE05-4DA6-9093-A7F44A2F1954}">
      <text>
        <r>
          <rPr>
            <sz val="9"/>
            <color indexed="81"/>
            <rFont val="Tahoma"/>
            <family val="2"/>
          </rPr>
          <t xml:space="preserve">Labor costs taken from RS Means include labor markups that vary by product type. This column is included to allow the application of a uniform labor markup. 
</t>
        </r>
      </text>
    </comment>
    <comment ref="J20" authorId="0" shapeId="0" xr:uid="{A7179348-3926-4109-81D3-867C1D6F6A98}">
      <text>
        <r>
          <rPr>
            <sz val="9"/>
            <color indexed="81"/>
            <rFont val="Tahoma"/>
            <family val="2"/>
          </rPr>
          <t>Labor costs taken from 
FSG</t>
        </r>
      </text>
    </comment>
    <comment ref="K20" authorId="0" shapeId="0" xr:uid="{200D6127-FB65-4B44-81C6-063784473FEB}">
      <text>
        <r>
          <rPr>
            <sz val="9"/>
            <color indexed="81"/>
            <rFont val="Tahoma"/>
            <family val="2"/>
          </rPr>
          <t xml:space="preserve">Labor costs taken from RS Means include labor markups that vary by product type. This column is included to allow the application of a uniform labor markup. 
</t>
        </r>
      </text>
    </comment>
    <comment ref="O20" authorId="1" shapeId="0" xr:uid="{634221B0-2402-4A25-8BA5-576ED662D1E8}">
      <text>
        <r>
          <rPr>
            <b/>
            <sz val="9"/>
            <color indexed="81"/>
            <rFont val="Tahoma"/>
            <family val="2"/>
          </rPr>
          <t>Valeria Holland:</t>
        </r>
        <r>
          <rPr>
            <sz val="9"/>
            <color indexed="81"/>
            <rFont val="Tahoma"/>
            <family val="2"/>
          </rPr>
          <t xml:space="preserve">
Average LED driver cost from FSG</t>
        </r>
      </text>
    </comment>
    <comment ref="P20" authorId="0" shapeId="0" xr:uid="{4AFEAA3E-97A5-4DA7-9991-1222E9CF5B69}">
      <text>
        <r>
          <rPr>
            <sz val="9"/>
            <color indexed="81"/>
            <rFont val="Tahoma"/>
            <family val="2"/>
          </rPr>
          <t>Labor costs taken from 
FSG</t>
        </r>
      </text>
    </comment>
    <comment ref="Q20" authorId="0" shapeId="0" xr:uid="{BE8B5F9A-62E2-4432-866F-C2D4C587ED3B}">
      <text>
        <r>
          <rPr>
            <sz val="9"/>
            <color indexed="81"/>
            <rFont val="Tahoma"/>
            <family val="2"/>
          </rPr>
          <t xml:space="preserve">Labor costs taken from RS Means include labor markups that vary by product type. This column is included to allow the application of a uniform labor markup. 
</t>
        </r>
      </text>
    </comment>
    <comment ref="T20" authorId="0" shapeId="0" xr:uid="{C3834568-DD30-437F-A687-52C7D5AC3204}">
      <text>
        <r>
          <rPr>
            <sz val="9"/>
            <color indexed="81"/>
            <rFont val="Tahoma"/>
            <family val="2"/>
          </rPr>
          <t xml:space="preserve">According to FSG, the LED fixtures are almost never cleaned.
</t>
        </r>
      </text>
    </comment>
    <comment ref="U20" authorId="0" shapeId="0" xr:uid="{D78A5192-40F9-4746-93C1-AA1246F83BBA}">
      <text>
        <r>
          <rPr>
            <sz val="9"/>
            <color indexed="81"/>
            <rFont val="Tahoma"/>
            <family val="2"/>
          </rPr>
          <t>Labor costs taken from 
FSG</t>
        </r>
      </text>
    </comment>
    <comment ref="V20" authorId="0" shapeId="0" xr:uid="{B84CE1B7-E361-479D-AB40-ADBC4203133F}">
      <text>
        <r>
          <rPr>
            <sz val="9"/>
            <color indexed="81"/>
            <rFont val="Tahoma"/>
            <family val="2"/>
          </rPr>
          <t xml:space="preserve">Labor costs taken from RS Means include labor markups that vary by product type. This column is included to allow the application of a uniform labor markup. 
</t>
        </r>
      </text>
    </comment>
    <comment ref="J29" authorId="0" shapeId="0" xr:uid="{3D417019-6CB0-4A81-A8E1-5686446D33C9}">
      <text>
        <r>
          <rPr>
            <sz val="9"/>
            <color indexed="81"/>
            <rFont val="Tahoma"/>
            <family val="2"/>
          </rPr>
          <t>Labor costs taken from 
FSG</t>
        </r>
      </text>
    </comment>
    <comment ref="K29" authorId="0" shapeId="0" xr:uid="{269A1AC3-650B-4AFB-89BA-13B2468058FE}">
      <text>
        <r>
          <rPr>
            <sz val="9"/>
            <color indexed="81"/>
            <rFont val="Tahoma"/>
            <family val="2"/>
          </rPr>
          <t xml:space="preserve">Labor costs taken from RS Means include labor markups that vary by product type. This column is included to allow the application of a uniform labor markup. 
</t>
        </r>
      </text>
    </comment>
    <comment ref="O29" authorId="1" shapeId="0" xr:uid="{310D6C49-CFD8-48BE-AB20-B55DF9A08446}">
      <text>
        <r>
          <rPr>
            <b/>
            <sz val="9"/>
            <color indexed="81"/>
            <rFont val="Tahoma"/>
            <family val="2"/>
          </rPr>
          <t>Valeria Holland:</t>
        </r>
        <r>
          <rPr>
            <sz val="9"/>
            <color indexed="81"/>
            <rFont val="Tahoma"/>
            <family val="2"/>
          </rPr>
          <t xml:space="preserve">
Average LED driver cost from FSG</t>
        </r>
      </text>
    </comment>
    <comment ref="P29" authorId="0" shapeId="0" xr:uid="{713FC026-F5BD-44BE-A09D-4D626D2A88D5}">
      <text>
        <r>
          <rPr>
            <sz val="9"/>
            <color indexed="81"/>
            <rFont val="Tahoma"/>
            <family val="2"/>
          </rPr>
          <t>Labor costs taken from 
FSG</t>
        </r>
      </text>
    </comment>
    <comment ref="Q29" authorId="0" shapeId="0" xr:uid="{3465BC8A-7FB1-4B44-9A7C-551928E9D54D}">
      <text>
        <r>
          <rPr>
            <sz val="9"/>
            <color indexed="81"/>
            <rFont val="Tahoma"/>
            <family val="2"/>
          </rPr>
          <t xml:space="preserve">Labor costs taken from RS Means include labor markups that vary by product type. This column is included to allow the application of a uniform labor markup. 
</t>
        </r>
      </text>
    </comment>
    <comment ref="T29" authorId="0" shapeId="0" xr:uid="{EE581F3B-E44B-4E22-A5EF-7E94DDCE54DD}">
      <text>
        <r>
          <rPr>
            <sz val="9"/>
            <color indexed="81"/>
            <rFont val="Tahoma"/>
            <family val="2"/>
          </rPr>
          <t xml:space="preserve">According to FSG, the LED fixtures are almost never cleaned.
</t>
        </r>
      </text>
    </comment>
    <comment ref="U29" authorId="0" shapeId="0" xr:uid="{3F00FBB9-0AF0-48AB-95E3-8DF682CBB0EB}">
      <text>
        <r>
          <rPr>
            <sz val="9"/>
            <color indexed="81"/>
            <rFont val="Tahoma"/>
            <family val="2"/>
          </rPr>
          <t>Labor costs taken from 
FSG</t>
        </r>
      </text>
    </comment>
    <comment ref="V29" authorId="0" shapeId="0" xr:uid="{B96D840F-8A66-484F-85A9-92973A5430DC}">
      <text>
        <r>
          <rPr>
            <sz val="9"/>
            <color indexed="81"/>
            <rFont val="Tahoma"/>
            <family val="2"/>
          </rPr>
          <t xml:space="preserve">Labor costs taken from RS Means include labor markups that vary by product type. This column is included to allow the application of a uniform labor markup. 
</t>
        </r>
      </text>
    </comment>
    <comment ref="J30" authorId="1" shapeId="0" xr:uid="{1512D4F9-100A-4FE8-BABC-CD4610EDED9D}">
      <text>
        <r>
          <rPr>
            <b/>
            <sz val="9"/>
            <color indexed="81"/>
            <rFont val="Tahoma"/>
            <family val="2"/>
          </rPr>
          <t>Valeria Holland:</t>
        </r>
        <r>
          <rPr>
            <sz val="9"/>
            <color indexed="81"/>
            <rFont val="Tahoma"/>
            <family val="2"/>
          </rPr>
          <t xml:space="preserve">
Labor cost + truck rental cost</t>
        </r>
      </text>
    </comment>
    <comment ref="P30" authorId="1" shapeId="0" xr:uid="{099A440B-D754-48D0-A7B9-B67BE7C06486}">
      <text>
        <r>
          <rPr>
            <b/>
            <sz val="9"/>
            <color indexed="81"/>
            <rFont val="Tahoma"/>
            <family val="2"/>
          </rPr>
          <t>Valeria Holland:</t>
        </r>
        <r>
          <rPr>
            <sz val="9"/>
            <color indexed="81"/>
            <rFont val="Tahoma"/>
            <family val="2"/>
          </rPr>
          <t xml:space="preserve">
Labor cost + truck rental cost</t>
        </r>
      </text>
    </comment>
    <comment ref="U30" authorId="1" shapeId="0" xr:uid="{227FC946-CD11-4F2D-949C-D7BA466A485D}">
      <text>
        <r>
          <rPr>
            <b/>
            <sz val="9"/>
            <color indexed="81"/>
            <rFont val="Tahoma"/>
            <family val="2"/>
          </rPr>
          <t>Valeria Holland:</t>
        </r>
        <r>
          <rPr>
            <sz val="9"/>
            <color indexed="81"/>
            <rFont val="Tahoma"/>
            <family val="2"/>
          </rPr>
          <t xml:space="preserve">
Labor cost + truck rental cost</t>
        </r>
      </text>
    </comment>
    <comment ref="J38" authorId="0" shapeId="0" xr:uid="{925B421C-E43B-4395-8B73-1510E725A66F}">
      <text>
        <r>
          <rPr>
            <sz val="9"/>
            <color indexed="81"/>
            <rFont val="Tahoma"/>
            <family val="2"/>
          </rPr>
          <t>Labor costs taken from 
FSG</t>
        </r>
      </text>
    </comment>
    <comment ref="K38" authorId="0" shapeId="0" xr:uid="{53FE1B12-29BA-4545-BE88-423FB996B705}">
      <text>
        <r>
          <rPr>
            <sz val="9"/>
            <color indexed="81"/>
            <rFont val="Tahoma"/>
            <family val="2"/>
          </rPr>
          <t xml:space="preserve">Labor costs taken from RS Means include labor markups that vary by product type. This column is included to allow the application of a uniform labor markup. 
</t>
        </r>
      </text>
    </comment>
    <comment ref="O38" authorId="1" shapeId="0" xr:uid="{766EBF6C-D90B-4617-B5E4-E4B67BB0DD86}">
      <text>
        <r>
          <rPr>
            <b/>
            <sz val="9"/>
            <color indexed="81"/>
            <rFont val="Tahoma"/>
            <family val="2"/>
          </rPr>
          <t>Valeria Holland:</t>
        </r>
        <r>
          <rPr>
            <sz val="9"/>
            <color indexed="81"/>
            <rFont val="Tahoma"/>
            <family val="2"/>
          </rPr>
          <t xml:space="preserve">
Average LED driver cost from FSG</t>
        </r>
      </text>
    </comment>
    <comment ref="P38" authorId="0" shapeId="0" xr:uid="{82E72DD3-B7F4-40E5-AC6F-6909FE8FD7D5}">
      <text>
        <r>
          <rPr>
            <sz val="9"/>
            <color indexed="81"/>
            <rFont val="Tahoma"/>
            <family val="2"/>
          </rPr>
          <t>Labor costs taken from 
FSG</t>
        </r>
      </text>
    </comment>
    <comment ref="Q38" authorId="0" shapeId="0" xr:uid="{9549387B-5F91-4289-BB1A-77CB953D8203}">
      <text>
        <r>
          <rPr>
            <sz val="9"/>
            <color indexed="81"/>
            <rFont val="Tahoma"/>
            <family val="2"/>
          </rPr>
          <t xml:space="preserve">Labor costs taken from RS Means include labor markups that vary by product type. This column is included to allow the application of a uniform labor markup. 
</t>
        </r>
      </text>
    </comment>
    <comment ref="T38" authorId="0" shapeId="0" xr:uid="{4D6B5CA2-290B-4618-A6FD-70982B4643CD}">
      <text>
        <r>
          <rPr>
            <sz val="9"/>
            <color indexed="81"/>
            <rFont val="Tahoma"/>
            <family val="2"/>
          </rPr>
          <t xml:space="preserve">According to FSG, the LED fixtures are almost never cleaned.
</t>
        </r>
      </text>
    </comment>
    <comment ref="U38" authorId="0" shapeId="0" xr:uid="{16A5B4F1-269B-4383-96AF-7BDC909546A8}">
      <text>
        <r>
          <rPr>
            <sz val="9"/>
            <color indexed="81"/>
            <rFont val="Tahoma"/>
            <family val="2"/>
          </rPr>
          <t>Labor costs taken from 
FSG</t>
        </r>
      </text>
    </comment>
    <comment ref="V38" authorId="0" shapeId="0" xr:uid="{3502EC9E-7B2D-4F76-8896-25BE4BA84795}">
      <text>
        <r>
          <rPr>
            <sz val="9"/>
            <color indexed="81"/>
            <rFont val="Tahoma"/>
            <family val="2"/>
          </rPr>
          <t xml:space="preserve">Labor costs taken from RS Means include labor markups that vary by product type. This column is included to allow the application of a uniform labor markup.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Tony Esposito</author>
    <author>Valeria Holland</author>
  </authors>
  <commentList>
    <comment ref="J5" authorId="0" shapeId="0" xr:uid="{6EB9970D-8311-4841-A754-5DE6F026C76C}">
      <text>
        <r>
          <rPr>
            <sz val="9"/>
            <color indexed="81"/>
            <rFont val="Tahoma"/>
            <family val="2"/>
          </rPr>
          <t>Labor costs taken from 
FSG</t>
        </r>
      </text>
    </comment>
    <comment ref="K5" authorId="0" shapeId="0" xr:uid="{FE9A0D74-B264-47FE-8DAA-F4D55A18D16A}">
      <text>
        <r>
          <rPr>
            <sz val="9"/>
            <color indexed="81"/>
            <rFont val="Tahoma"/>
            <family val="2"/>
          </rPr>
          <t xml:space="preserve">Labor costs taken from RS Means include labor markups that vary by product type. This column is included to allow the application of a uniform labor markup. 
</t>
        </r>
      </text>
    </comment>
    <comment ref="O5" authorId="1" shapeId="0" xr:uid="{DC20FE16-1C12-4F64-8744-D043545127CF}">
      <text>
        <r>
          <rPr>
            <b/>
            <sz val="9"/>
            <color indexed="81"/>
            <rFont val="Tahoma"/>
            <family val="2"/>
          </rPr>
          <t>Valeria Holland:</t>
        </r>
        <r>
          <rPr>
            <sz val="9"/>
            <color indexed="81"/>
            <rFont val="Tahoma"/>
            <family val="2"/>
          </rPr>
          <t xml:space="preserve">
Average LED driver cost from FSG</t>
        </r>
      </text>
    </comment>
    <comment ref="P5" authorId="0" shapeId="0" xr:uid="{239FD90D-7D2B-4E33-BDB0-346A33A70DA3}">
      <text>
        <r>
          <rPr>
            <sz val="9"/>
            <color indexed="81"/>
            <rFont val="Tahoma"/>
            <family val="2"/>
          </rPr>
          <t>Labor costs taken from 
FSG</t>
        </r>
      </text>
    </comment>
    <comment ref="Q5" authorId="0" shapeId="0" xr:uid="{B96CCAB8-D3B9-40C5-8996-FA95F32BFF5A}">
      <text>
        <r>
          <rPr>
            <sz val="9"/>
            <color indexed="81"/>
            <rFont val="Tahoma"/>
            <family val="2"/>
          </rPr>
          <t xml:space="preserve">Labor costs taken from RS Means include labor markups that vary by product type. This column is included to allow the application of a uniform labor markup. 
</t>
        </r>
      </text>
    </comment>
    <comment ref="T5" authorId="0" shapeId="0" xr:uid="{810124EB-C085-4CBE-AF03-EADD7025FFE0}">
      <text>
        <r>
          <rPr>
            <sz val="9"/>
            <color indexed="81"/>
            <rFont val="Tahoma"/>
            <family val="2"/>
          </rPr>
          <t xml:space="preserve">According to FSG, the LED fixtures are almost never cleaned.
</t>
        </r>
      </text>
    </comment>
    <comment ref="U5" authorId="0" shapeId="0" xr:uid="{D3FD5F80-E619-4B2C-B31D-588A690AED14}">
      <text>
        <r>
          <rPr>
            <sz val="9"/>
            <color indexed="81"/>
            <rFont val="Tahoma"/>
            <family val="2"/>
          </rPr>
          <t>Labor costs taken from 
FSG</t>
        </r>
      </text>
    </comment>
    <comment ref="V5" authorId="0" shapeId="0" xr:uid="{8F601760-6462-436B-BDC7-0115BEAB950D}">
      <text>
        <r>
          <rPr>
            <sz val="9"/>
            <color indexed="81"/>
            <rFont val="Tahoma"/>
            <family val="2"/>
          </rPr>
          <t xml:space="preserve">Labor costs taken from RS Means include labor markups that vary by product type. This column is included to allow the application of a uniform labor markup. 
</t>
        </r>
      </text>
    </comment>
    <comment ref="J24" authorId="0" shapeId="0" xr:uid="{2956E925-0097-4653-916D-31E750DD76B4}">
      <text>
        <r>
          <rPr>
            <sz val="9"/>
            <color indexed="81"/>
            <rFont val="Tahoma"/>
            <family val="2"/>
          </rPr>
          <t>Labor costs taken from 
FSG</t>
        </r>
      </text>
    </comment>
    <comment ref="K24" authorId="0" shapeId="0" xr:uid="{DF941E10-7070-48E8-8C80-E7FC2C4C82EC}">
      <text>
        <r>
          <rPr>
            <sz val="9"/>
            <color indexed="81"/>
            <rFont val="Tahoma"/>
            <family val="2"/>
          </rPr>
          <t xml:space="preserve">Labor costs taken from RS Means include labor markups that vary by product type. This column is included to allow the application of a uniform labor markup. 
</t>
        </r>
      </text>
    </comment>
    <comment ref="O24" authorId="1" shapeId="0" xr:uid="{9D6814BC-E420-444E-9BA4-5FA8144ABE99}">
      <text>
        <r>
          <rPr>
            <b/>
            <sz val="9"/>
            <color indexed="81"/>
            <rFont val="Tahoma"/>
            <family val="2"/>
          </rPr>
          <t>Valeria Holland:</t>
        </r>
        <r>
          <rPr>
            <sz val="9"/>
            <color indexed="81"/>
            <rFont val="Tahoma"/>
            <family val="2"/>
          </rPr>
          <t xml:space="preserve">
Average LED driver cost from FSG</t>
        </r>
      </text>
    </comment>
    <comment ref="P24" authorId="0" shapeId="0" xr:uid="{348FE2C1-57E3-45C2-AB77-B0F65F15B44F}">
      <text>
        <r>
          <rPr>
            <sz val="9"/>
            <color indexed="81"/>
            <rFont val="Tahoma"/>
            <family val="2"/>
          </rPr>
          <t>Labor costs taken from 
FSG</t>
        </r>
      </text>
    </comment>
    <comment ref="Q24" authorId="0" shapeId="0" xr:uid="{458D5606-2539-4ED1-B764-AAA24ADB7B4E}">
      <text>
        <r>
          <rPr>
            <sz val="9"/>
            <color indexed="81"/>
            <rFont val="Tahoma"/>
            <family val="2"/>
          </rPr>
          <t xml:space="preserve">Labor costs taken from RS Means include labor markups that vary by product type. This column is included to allow the application of a uniform labor markup. 
</t>
        </r>
      </text>
    </comment>
    <comment ref="T24" authorId="0" shapeId="0" xr:uid="{C730AE47-6AAD-4700-A55A-322BB6C17ED0}">
      <text>
        <r>
          <rPr>
            <sz val="9"/>
            <color indexed="81"/>
            <rFont val="Tahoma"/>
            <family val="2"/>
          </rPr>
          <t xml:space="preserve">According to FSG, the LED fixtures are almost never cleaned.
</t>
        </r>
      </text>
    </comment>
    <comment ref="U24" authorId="0" shapeId="0" xr:uid="{5D2D5154-67A9-49AA-B7AE-747F6CB40B53}">
      <text>
        <r>
          <rPr>
            <sz val="9"/>
            <color indexed="81"/>
            <rFont val="Tahoma"/>
            <family val="2"/>
          </rPr>
          <t>Labor costs taken from 
FSG</t>
        </r>
      </text>
    </comment>
    <comment ref="V24" authorId="0" shapeId="0" xr:uid="{B29BF066-5869-453C-A3AD-6088B5FB8384}">
      <text>
        <r>
          <rPr>
            <sz val="9"/>
            <color indexed="81"/>
            <rFont val="Tahoma"/>
            <family val="2"/>
          </rPr>
          <t xml:space="preserve">Labor costs taken from RS Means include labor markups that vary by product type. This column is included to allow the application of a uniform labor markup. 
</t>
        </r>
      </text>
    </comment>
    <comment ref="J33" authorId="0" shapeId="0" xr:uid="{A886F988-F9CC-489D-A219-EB6248D53753}">
      <text>
        <r>
          <rPr>
            <sz val="9"/>
            <color indexed="81"/>
            <rFont val="Tahoma"/>
            <family val="2"/>
          </rPr>
          <t>Labor costs taken from 
FSG</t>
        </r>
      </text>
    </comment>
    <comment ref="K33" authorId="0" shapeId="0" xr:uid="{6D8C4B3E-5493-4387-AF15-2D147E2FF2CE}">
      <text>
        <r>
          <rPr>
            <sz val="9"/>
            <color indexed="81"/>
            <rFont val="Tahoma"/>
            <family val="2"/>
          </rPr>
          <t xml:space="preserve">Labor costs taken from RS Means include labor markups that vary by product type. This column is included to allow the application of a uniform labor markup. 
</t>
        </r>
      </text>
    </comment>
    <comment ref="O33" authorId="1" shapeId="0" xr:uid="{29BB092C-7B2C-4B5C-9349-C19296D8E81A}">
      <text>
        <r>
          <rPr>
            <b/>
            <sz val="9"/>
            <color indexed="81"/>
            <rFont val="Tahoma"/>
            <family val="2"/>
          </rPr>
          <t>Valeria Holland:</t>
        </r>
        <r>
          <rPr>
            <sz val="9"/>
            <color indexed="81"/>
            <rFont val="Tahoma"/>
            <family val="2"/>
          </rPr>
          <t xml:space="preserve">
Average LED driver cost from FSG</t>
        </r>
      </text>
    </comment>
    <comment ref="P33" authorId="0" shapeId="0" xr:uid="{1DC2D6AB-4BC4-4859-B661-BFB3C057ABA6}">
      <text>
        <r>
          <rPr>
            <sz val="9"/>
            <color indexed="81"/>
            <rFont val="Tahoma"/>
            <family val="2"/>
          </rPr>
          <t>Labor costs taken from 
FSG</t>
        </r>
      </text>
    </comment>
    <comment ref="Q33" authorId="0" shapeId="0" xr:uid="{CFC72D4B-F092-42E1-BBB5-CC0843D2AF27}">
      <text>
        <r>
          <rPr>
            <sz val="9"/>
            <color indexed="81"/>
            <rFont val="Tahoma"/>
            <family val="2"/>
          </rPr>
          <t xml:space="preserve">Labor costs taken from RS Means include labor markups that vary by product type. This column is included to allow the application of a uniform labor markup. 
</t>
        </r>
      </text>
    </comment>
    <comment ref="T33" authorId="0" shapeId="0" xr:uid="{3F3F9CB6-7D59-443F-B931-150FE652AC10}">
      <text>
        <r>
          <rPr>
            <sz val="9"/>
            <color indexed="81"/>
            <rFont val="Tahoma"/>
            <family val="2"/>
          </rPr>
          <t xml:space="preserve">According to FSG, the LED fixtures are almost never cleaned.
</t>
        </r>
      </text>
    </comment>
    <comment ref="U33" authorId="0" shapeId="0" xr:uid="{AE1E662E-A9AE-497A-9A77-1B0E05BF1351}">
      <text>
        <r>
          <rPr>
            <sz val="9"/>
            <color indexed="81"/>
            <rFont val="Tahoma"/>
            <family val="2"/>
          </rPr>
          <t>Labor costs taken from 
FSG</t>
        </r>
      </text>
    </comment>
    <comment ref="V33" authorId="0" shapeId="0" xr:uid="{C0144230-8740-4BB4-9974-E98A91D7D27E}">
      <text>
        <r>
          <rPr>
            <sz val="9"/>
            <color indexed="81"/>
            <rFont val="Tahoma"/>
            <family val="2"/>
          </rPr>
          <t xml:space="preserve">Labor costs taken from RS Means include labor markups that vary by product type. This column is included to allow the application of a uniform labor markup. 
</t>
        </r>
      </text>
    </comment>
    <comment ref="J34" authorId="1" shapeId="0" xr:uid="{201A9619-908C-453D-A4E1-D0073CF98485}">
      <text>
        <r>
          <rPr>
            <b/>
            <sz val="9"/>
            <color indexed="81"/>
            <rFont val="Tahoma"/>
            <family val="2"/>
          </rPr>
          <t>Valeria Holland:</t>
        </r>
        <r>
          <rPr>
            <sz val="9"/>
            <color indexed="81"/>
            <rFont val="Tahoma"/>
            <family val="2"/>
          </rPr>
          <t xml:space="preserve">
Labor cost + truck rental cost</t>
        </r>
      </text>
    </comment>
    <comment ref="P34" authorId="1" shapeId="0" xr:uid="{FE275031-C558-42F6-A451-CE2B0CF54F81}">
      <text>
        <r>
          <rPr>
            <b/>
            <sz val="9"/>
            <color indexed="81"/>
            <rFont val="Tahoma"/>
            <family val="2"/>
          </rPr>
          <t>Valeria Holland:</t>
        </r>
        <r>
          <rPr>
            <sz val="9"/>
            <color indexed="81"/>
            <rFont val="Tahoma"/>
            <family val="2"/>
          </rPr>
          <t xml:space="preserve">
Labor cost + truck rental cost</t>
        </r>
      </text>
    </comment>
    <comment ref="U34" authorId="1" shapeId="0" xr:uid="{77E29638-D9A2-4732-8CAF-9649FED5378F}">
      <text>
        <r>
          <rPr>
            <b/>
            <sz val="9"/>
            <color indexed="81"/>
            <rFont val="Tahoma"/>
            <family val="2"/>
          </rPr>
          <t>Valeria Holland:</t>
        </r>
        <r>
          <rPr>
            <sz val="9"/>
            <color indexed="81"/>
            <rFont val="Tahoma"/>
            <family val="2"/>
          </rPr>
          <t xml:space="preserve">
Labor cost + truck rental cost</t>
        </r>
      </text>
    </comment>
    <comment ref="J42" authorId="0" shapeId="0" xr:uid="{CB60185E-4683-45A9-9C2A-15D09E5FA90E}">
      <text>
        <r>
          <rPr>
            <sz val="9"/>
            <color indexed="81"/>
            <rFont val="Tahoma"/>
            <family val="2"/>
          </rPr>
          <t>Labor costs taken from 
FSG</t>
        </r>
      </text>
    </comment>
    <comment ref="K42" authorId="0" shapeId="0" xr:uid="{B7A14BB1-5FAD-42E5-9000-B56586F165BC}">
      <text>
        <r>
          <rPr>
            <sz val="9"/>
            <color indexed="81"/>
            <rFont val="Tahoma"/>
            <family val="2"/>
          </rPr>
          <t xml:space="preserve">Labor costs taken from RS Means include labor markups that vary by product type. This column is included to allow the application of a uniform labor markup. 
</t>
        </r>
      </text>
    </comment>
    <comment ref="O42" authorId="1" shapeId="0" xr:uid="{3E43B943-36AB-4A81-AC6B-E86722E1756F}">
      <text>
        <r>
          <rPr>
            <b/>
            <sz val="9"/>
            <color indexed="81"/>
            <rFont val="Tahoma"/>
            <family val="2"/>
          </rPr>
          <t>Valeria Holland:</t>
        </r>
        <r>
          <rPr>
            <sz val="9"/>
            <color indexed="81"/>
            <rFont val="Tahoma"/>
            <family val="2"/>
          </rPr>
          <t xml:space="preserve">
Average LED driver cost from FSG</t>
        </r>
      </text>
    </comment>
    <comment ref="P42" authorId="0" shapeId="0" xr:uid="{71008F71-373A-4D27-8963-4ADCCE02732A}">
      <text>
        <r>
          <rPr>
            <sz val="9"/>
            <color indexed="81"/>
            <rFont val="Tahoma"/>
            <family val="2"/>
          </rPr>
          <t>Labor costs taken from 
FSG</t>
        </r>
      </text>
    </comment>
    <comment ref="Q42" authorId="0" shapeId="0" xr:uid="{3F5CC28E-39CD-4DF5-83DE-D48776A60AFE}">
      <text>
        <r>
          <rPr>
            <sz val="9"/>
            <color indexed="81"/>
            <rFont val="Tahoma"/>
            <family val="2"/>
          </rPr>
          <t xml:space="preserve">Labor costs taken from RS Means include labor markups that vary by product type. This column is included to allow the application of a uniform labor markup. 
</t>
        </r>
      </text>
    </comment>
    <comment ref="T42" authorId="0" shapeId="0" xr:uid="{6F780C32-1B3F-4BFC-96B3-A3791BF35480}">
      <text>
        <r>
          <rPr>
            <sz val="9"/>
            <color indexed="81"/>
            <rFont val="Tahoma"/>
            <family val="2"/>
          </rPr>
          <t xml:space="preserve">According to FSG, the LED fixtures are almost never cleaned.
</t>
        </r>
      </text>
    </comment>
    <comment ref="U42" authorId="0" shapeId="0" xr:uid="{AA2712E1-E3B7-4454-8D87-828094041DC1}">
      <text>
        <r>
          <rPr>
            <sz val="9"/>
            <color indexed="81"/>
            <rFont val="Tahoma"/>
            <family val="2"/>
          </rPr>
          <t>Labor costs taken from 
FSG</t>
        </r>
      </text>
    </comment>
    <comment ref="V42" authorId="0" shapeId="0" xr:uid="{12610390-E22C-4C2F-972E-803B3BC81159}">
      <text>
        <r>
          <rPr>
            <sz val="9"/>
            <color indexed="81"/>
            <rFont val="Tahoma"/>
            <family val="2"/>
          </rPr>
          <t xml:space="preserve">Labor costs taken from RS Means include labor markups that vary by product type. This column is included to allow the application of a uniform labor markup.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Tony Esposito</author>
  </authors>
  <commentList>
    <comment ref="G7" authorId="0" shapeId="0" xr:uid="{09CACC91-7DEC-4CD8-B2DB-2F774543EF50}">
      <text>
        <r>
          <rPr>
            <sz val="9"/>
            <color indexed="81"/>
            <rFont val="Tahoma"/>
            <family val="2"/>
          </rPr>
          <t>Rebate for fixtures is a fixed amount that is determined by the type of fixture and it's power consumption</t>
        </r>
      </text>
    </comment>
    <comment ref="H7" authorId="0" shapeId="0" xr:uid="{592B6E3C-8DBE-4F58-B5CF-378FBD069F8F}">
      <text>
        <r>
          <rPr>
            <sz val="9"/>
            <color indexed="81"/>
            <rFont val="Tahoma"/>
            <family val="2"/>
          </rPr>
          <t xml:space="preserve">Control rebate is $0.40 per Watt of controlled load.
</t>
        </r>
      </text>
    </comment>
    <comment ref="K7" authorId="0" shapeId="0" xr:uid="{27F9CAE8-0783-4FB7-AFB5-2F6D7EE426A9}">
      <text>
        <r>
          <rPr>
            <sz val="9"/>
            <color indexed="81"/>
            <rFont val="Tahoma"/>
            <family val="2"/>
          </rPr>
          <t xml:space="preserve">Rebate for fixtures is $1.25 per Watt of reduced load. </t>
        </r>
      </text>
    </comment>
    <comment ref="L7" authorId="0" shapeId="0" xr:uid="{7E040DC2-1381-46DC-8F17-C072D1D34188}">
      <text>
        <r>
          <rPr>
            <sz val="9"/>
            <color indexed="81"/>
            <rFont val="Tahoma"/>
            <family val="2"/>
          </rPr>
          <t xml:space="preserve">Control rebate is $0.50 per Watt of controlled load.
</t>
        </r>
      </text>
    </comment>
  </commentList>
</comments>
</file>

<file path=xl/sharedStrings.xml><?xml version="1.0" encoding="utf-8"?>
<sst xmlns="http://schemas.openxmlformats.org/spreadsheetml/2006/main" count="1576" uniqueCount="513">
  <si>
    <t>Light Pollution and Energy Efficiency Cost Calculation Tool</t>
  </si>
  <si>
    <t>This spreadsheet is used to calculate the payback period and return on investment (ROI) for the lighting application scenarios in the "Choosing Both Energy Efficiency and Light Pollution Mitigation for Commercial Outdoor Lighting" study.</t>
  </si>
  <si>
    <t>Instructions</t>
  </si>
  <si>
    <t>1)</t>
  </si>
  <si>
    <t>Provide the most accurate estimates possible for the editable fields in this spreadsheet. Sheets containing editable fields have their sheet tabs highlighted with a light yellow/peach color (see key below). This is the same color as the editable fields. Editable fields include fixture quantities, fixture costs, fixture installation costs, cost markups, maintenance costs (material, labor, and markup), factors impacting rebates, and more. Important colors for cells are shown below:</t>
  </si>
  <si>
    <t xml:space="preserve"> Fields that contain estimated quantities that impact the payback period and ROI. Intended to be edited. </t>
  </si>
  <si>
    <r>
      <t xml:space="preserve"> Fields that contain formulae or fixed reference values. </t>
    </r>
    <r>
      <rPr>
        <b/>
        <sz val="10"/>
        <rFont val="Calibri"/>
        <family val="2"/>
        <scheme val="minor"/>
      </rPr>
      <t xml:space="preserve">Do not edit. </t>
    </r>
  </si>
  <si>
    <t xml:space="preserve"> Table headers and reference information.</t>
  </si>
  <si>
    <t>2)</t>
  </si>
  <si>
    <t xml:space="preserve">After accurate estimates have been provided, go to the "Dashboard" tab and modify the master parameters. These include system lifetime, electricity costs, control schedule (i.e., dimming schedule), and LED fixture failure rate parameters. </t>
  </si>
  <si>
    <t>3)</t>
  </si>
  <si>
    <t xml:space="preserve">Results (payback period and ROI) on the "Dashboard" tab will automatically update.  </t>
  </si>
  <si>
    <t>Sheet Descriptions</t>
  </si>
  <si>
    <t>Tab Color Legend:</t>
  </si>
  <si>
    <r>
      <t xml:space="preserve"> This color is reserved for the main </t>
    </r>
    <r>
      <rPr>
        <b/>
        <sz val="11"/>
        <rFont val="Calibri"/>
        <family val="2"/>
        <scheme val="minor"/>
      </rPr>
      <t>dashboard</t>
    </r>
    <r>
      <rPr>
        <sz val="11"/>
        <rFont val="Calibri"/>
        <family val="2"/>
        <scheme val="minor"/>
      </rPr>
      <t>.</t>
    </r>
  </si>
  <si>
    <r>
      <t xml:space="preserve"> Sheet tabs with this color contain </t>
    </r>
    <r>
      <rPr>
        <b/>
        <sz val="11"/>
        <rFont val="Calibri"/>
        <family val="2"/>
        <scheme val="minor"/>
      </rPr>
      <t>editable fields</t>
    </r>
    <r>
      <rPr>
        <sz val="11"/>
        <rFont val="Calibri"/>
        <family val="2"/>
        <scheme val="minor"/>
      </rPr>
      <t xml:space="preserve"> that are likely to impact payback and ROI calculations. </t>
    </r>
  </si>
  <si>
    <r>
      <t xml:space="preserve"> Sheet tabs with this color contain </t>
    </r>
    <r>
      <rPr>
        <b/>
        <sz val="11"/>
        <rFont val="Calibri"/>
        <family val="2"/>
        <scheme val="minor"/>
      </rPr>
      <t xml:space="preserve">summary information </t>
    </r>
    <r>
      <rPr>
        <sz val="11"/>
        <rFont val="Calibri"/>
        <family val="2"/>
        <scheme val="minor"/>
      </rPr>
      <t>in tabular form, graphical form, or both.</t>
    </r>
  </si>
  <si>
    <t>Dashboard</t>
  </si>
  <si>
    <t xml:space="preserve">This sheet serves as the main user interface. Use this sheet to modify global parameters and instantly update the estimate payback periods and ROI. Editable parameters include system lifetime (which impacts the frequency of lamp, ballast, and fixture replacements), electricity costs (split into summer, winter, and monthly service charge), a lighting power schedule for dimming calculations, and parameters for LED catastrophic fixture and ballast failure rates. </t>
  </si>
  <si>
    <t>Base_Energy</t>
  </si>
  <si>
    <t xml:space="preserve">This sheet is formatted as a fixture schedule for the base case lighting application scenarios and is primarily used to estimate the total power consumption of the base case application scenarios. Editable fields include the number (quantity) of each fixture type and their associated per-unit power consumption. </t>
  </si>
  <si>
    <t>Capital_R1</t>
  </si>
  <si>
    <r>
      <t xml:space="preserve">This sheet is formatted as a fixture schedule for the lighting application scenarios in </t>
    </r>
    <r>
      <rPr>
        <b/>
        <sz val="10"/>
        <rFont val="Calibri"/>
        <family val="2"/>
        <scheme val="minor"/>
      </rPr>
      <t>Retrofit Scenario 1</t>
    </r>
    <r>
      <rPr>
        <sz val="10"/>
        <rFont val="Calibri"/>
        <family val="2"/>
        <scheme val="minor"/>
      </rPr>
      <t xml:space="preserve">. This sheet is used to calculate the capital cost of these lighting systems; the power consumption values on this sheet feed the "Energy" sheet for calculation of the total power consumption of the lighting scenario. </t>
    </r>
  </si>
  <si>
    <t>Capital_R2</t>
  </si>
  <si>
    <r>
      <t xml:space="preserve">This sheet is formatted as a fixture schedule for the lighting application scenarios in </t>
    </r>
    <r>
      <rPr>
        <b/>
        <sz val="10"/>
        <rFont val="Calibri"/>
        <family val="2"/>
        <scheme val="minor"/>
      </rPr>
      <t>Retrofit Scenario 2</t>
    </r>
    <r>
      <rPr>
        <sz val="10"/>
        <rFont val="Calibri"/>
        <family val="2"/>
        <scheme val="minor"/>
      </rPr>
      <t xml:space="preserve">. This sheet is used to calculate the capital cost of these lighting systems; the power consumption values on this sheet feed the "Energy" sheet for calculation of the total power consumption of the lighting scenario. </t>
    </r>
  </si>
  <si>
    <t>Capital_Summary (Ref)</t>
  </si>
  <si>
    <r>
      <rPr>
        <sz val="10"/>
        <color rgb="FF000000"/>
        <rFont val="Calibri"/>
        <scheme val="minor"/>
      </rPr>
      <t xml:space="preserve">This sheet provides tabular and graphical summary information for the </t>
    </r>
    <r>
      <rPr>
        <b/>
        <sz val="10"/>
        <color rgb="FF000000"/>
        <rFont val="Calibri"/>
        <scheme val="minor"/>
      </rPr>
      <t>Capital Costs</t>
    </r>
    <r>
      <rPr>
        <sz val="10"/>
        <color rgb="FF000000"/>
        <rFont val="Calibri"/>
        <scheme val="minor"/>
      </rPr>
      <t xml:space="preserve"> for all lighting application scenarios. Values on this sheet are automatically calculated from the capital cost sheets and</t>
    </r>
    <r>
      <rPr>
        <sz val="10"/>
        <color rgb="FFFF0000"/>
        <rFont val="Calibri"/>
        <scheme val="minor"/>
      </rPr>
      <t xml:space="preserve"> </t>
    </r>
    <r>
      <rPr>
        <i/>
        <sz val="10"/>
        <color rgb="FF000000"/>
        <rFont val="Calibri"/>
        <scheme val="minor"/>
      </rPr>
      <t>should not be edited directly</t>
    </r>
    <r>
      <rPr>
        <sz val="10"/>
        <color rgb="FF000000"/>
        <rFont val="Calibri"/>
        <scheme val="minor"/>
      </rPr>
      <t xml:space="preserve">. </t>
    </r>
  </si>
  <si>
    <t>Maint_Base</t>
  </si>
  <si>
    <r>
      <t xml:space="preserve">This sheet is formatted as a fixture schedule for the </t>
    </r>
    <r>
      <rPr>
        <b/>
        <sz val="10"/>
        <rFont val="Calibri"/>
        <family val="2"/>
        <scheme val="minor"/>
      </rPr>
      <t xml:space="preserve">Base Case </t>
    </r>
    <r>
      <rPr>
        <sz val="10"/>
        <rFont val="Calibri"/>
        <family val="2"/>
        <scheme val="minor"/>
      </rPr>
      <t xml:space="preserve">lighting application scenarios. This sheet is used to calculate the </t>
    </r>
    <r>
      <rPr>
        <b/>
        <sz val="10"/>
        <rFont val="Calibri"/>
        <family val="2"/>
        <scheme val="minor"/>
      </rPr>
      <t xml:space="preserve">maintenance </t>
    </r>
    <r>
      <rPr>
        <sz val="10"/>
        <rFont val="Calibri"/>
        <family val="2"/>
        <scheme val="minor"/>
      </rPr>
      <t xml:space="preserve">cost of these lighting systems. Fixture quantities in this sheet are not automatically fed from other sheets (e.g., the capital cost sheets) to allow maintenance cost estimations for a different quantity of fixtures. </t>
    </r>
  </si>
  <si>
    <t>Maint_R1</t>
  </si>
  <si>
    <r>
      <t>This sheet is formatted as a fixture schedule for the</t>
    </r>
    <r>
      <rPr>
        <b/>
        <sz val="10"/>
        <rFont val="Calibri"/>
        <family val="2"/>
        <scheme val="minor"/>
      </rPr>
      <t xml:space="preserve"> </t>
    </r>
    <r>
      <rPr>
        <sz val="10"/>
        <rFont val="Calibri"/>
        <family val="2"/>
        <scheme val="minor"/>
      </rPr>
      <t xml:space="preserve">lighting application scenarios In </t>
    </r>
    <r>
      <rPr>
        <b/>
        <sz val="10"/>
        <rFont val="Calibri"/>
        <family val="2"/>
        <scheme val="minor"/>
      </rPr>
      <t>Retrofit Scenario 1</t>
    </r>
    <r>
      <rPr>
        <sz val="10"/>
        <rFont val="Calibri"/>
        <family val="2"/>
        <scheme val="minor"/>
      </rPr>
      <t xml:space="preserve">. This sheet is used to calculate the </t>
    </r>
    <r>
      <rPr>
        <b/>
        <sz val="10"/>
        <rFont val="Calibri"/>
        <family val="2"/>
        <scheme val="minor"/>
      </rPr>
      <t xml:space="preserve">maintenance </t>
    </r>
    <r>
      <rPr>
        <sz val="10"/>
        <rFont val="Calibri"/>
        <family val="2"/>
        <scheme val="minor"/>
      </rPr>
      <t xml:space="preserve">cost of these lighting systems. Fixture quantities in this sheet are not automatically fed from other sheets (e.g., the capital cost sheets) to allow maintenance cost estimations for a different quantity of fixtures. </t>
    </r>
  </si>
  <si>
    <t>Maint_R2</t>
  </si>
  <si>
    <t>This sheet includes acceptable alternative version of the Color Vector Graphic. It also stores data used to generate the graphics.</t>
  </si>
  <si>
    <t>Maint_Summary (Ref)</t>
  </si>
  <si>
    <r>
      <rPr>
        <sz val="10"/>
        <color rgb="FF000000"/>
        <rFont val="Calibri"/>
        <scheme val="minor"/>
      </rPr>
      <t xml:space="preserve">This sheet provides tabular and graphical summary information for the </t>
    </r>
    <r>
      <rPr>
        <b/>
        <sz val="10"/>
        <color rgb="FF000000"/>
        <rFont val="Calibri"/>
        <scheme val="minor"/>
      </rPr>
      <t>Maintenance Costs</t>
    </r>
    <r>
      <rPr>
        <sz val="10"/>
        <color rgb="FF000000"/>
        <rFont val="Calibri"/>
        <scheme val="minor"/>
      </rPr>
      <t xml:space="preserve"> for all lighting application scenarios. Values on this sheet are automatically calculated from the capital cost sheets and</t>
    </r>
    <r>
      <rPr>
        <sz val="10"/>
        <color rgb="FFFF0000"/>
        <rFont val="Calibri"/>
        <scheme val="minor"/>
      </rPr>
      <t xml:space="preserve"> </t>
    </r>
    <r>
      <rPr>
        <i/>
        <sz val="10"/>
        <color rgb="FF000000"/>
        <rFont val="Calibri"/>
        <scheme val="minor"/>
      </rPr>
      <t>should not be edited directly</t>
    </r>
    <r>
      <rPr>
        <sz val="10"/>
        <color rgb="FF000000"/>
        <rFont val="Calibri"/>
        <scheme val="minor"/>
      </rPr>
      <t xml:space="preserve">. </t>
    </r>
  </si>
  <si>
    <t>Energy</t>
  </si>
  <si>
    <t xml:space="preserve">This sheet is used to calculate quantities associated with power and energy consumption (including annual energy cost and annual energy cost savings). All quantities in this sheet are computed automatically and should not be edited directly. </t>
  </si>
  <si>
    <t>Rebates</t>
  </si>
  <si>
    <t xml:space="preserve">This sheet is used to calculate rebates provided by two rebate providers local to Colorado, Xcel Energy and Fort Collins Utility. This sheet contains editable fields for estimating the rebates. </t>
  </si>
  <si>
    <t>ROI (Ref)</t>
  </si>
  <si>
    <t xml:space="preserve">This sheet is used to calculate the payback periods and ROI. All quantities in this sheet are computed automatically and should not be edited directly. </t>
  </si>
  <si>
    <t>OpHrs (Ref)</t>
  </si>
  <si>
    <t xml:space="preserve">This sheet is used to calculate the operating hours---between various time points of interest---for each day of the year. This sheet feeds the "OpHrs_Summary (Ref)" where hour totals are calculated. </t>
  </si>
  <si>
    <t>OpHrs_Summary (Ref)</t>
  </si>
  <si>
    <t xml:space="preserve">This sheet provides a tabular summary of the annual operating hours. </t>
  </si>
  <si>
    <t>Contributors</t>
  </si>
  <si>
    <t>Valeria Holland, VH Lighting Services LLC</t>
  </si>
  <si>
    <t>Tony Esposito, Lighting Research Solutions LLC</t>
  </si>
  <si>
    <t xml:space="preserve"> DASHBOARD</t>
  </si>
  <si>
    <t>MASTER INPUTS</t>
  </si>
  <si>
    <t>RESULTS</t>
  </si>
  <si>
    <t xml:space="preserve">Lifetime Period </t>
  </si>
  <si>
    <t xml:space="preserve"> years</t>
  </si>
  <si>
    <t>Payback</t>
  </si>
  <si>
    <t>Scenario</t>
  </si>
  <si>
    <t xml:space="preserve"> </t>
  </si>
  <si>
    <t xml:space="preserve">Electricity Cost </t>
  </si>
  <si>
    <t>Summer</t>
  </si>
  <si>
    <t xml:space="preserve"> /kWh</t>
  </si>
  <si>
    <t>Winter</t>
  </si>
  <si>
    <t>Service Charge</t>
  </si>
  <si>
    <t xml:space="preserve"> /Month</t>
  </si>
  <si>
    <t>Rebate Provider</t>
  </si>
  <si>
    <t>1 = Xcel</t>
  </si>
  <si>
    <t>2 = Fort Collins Utility</t>
  </si>
  <si>
    <t>Lighting power and dimming schedule</t>
  </si>
  <si>
    <t>Model High School</t>
  </si>
  <si>
    <t xml:space="preserve">College Ave </t>
  </si>
  <si>
    <t>Base</t>
  </si>
  <si>
    <t>R1</t>
  </si>
  <si>
    <t>R2</t>
  </si>
  <si>
    <t xml:space="preserve">Dusk - Midnight </t>
  </si>
  <si>
    <t>Midnight - 3 am</t>
  </si>
  <si>
    <t xml:space="preserve">3 am - Dawn </t>
  </si>
  <si>
    <t>LED Lifetime Failure Rates</t>
  </si>
  <si>
    <t>Fixtures</t>
  </si>
  <si>
    <t>[LINK]</t>
  </si>
  <si>
    <t>[LINK2]</t>
  </si>
  <si>
    <t>Driver</t>
  </si>
  <si>
    <t>Energy Consumption - Base Case</t>
  </si>
  <si>
    <t>Power Consumption [W]</t>
  </si>
  <si>
    <t>Type</t>
  </si>
  <si>
    <t>Manufacturer</t>
  </si>
  <si>
    <t>Catalog Number</t>
  </si>
  <si>
    <t>Quantity</t>
  </si>
  <si>
    <t>Notes</t>
  </si>
  <si>
    <t>Unit</t>
  </si>
  <si>
    <t>Qty</t>
  </si>
  <si>
    <t>A</t>
  </si>
  <si>
    <t>Holophane</t>
  </si>
  <si>
    <t>SMST400MH00XXPM</t>
  </si>
  <si>
    <t>B</t>
  </si>
  <si>
    <t>B2@180</t>
  </si>
  <si>
    <t>2 fixtures at 180 degrees</t>
  </si>
  <si>
    <t>P</t>
  </si>
  <si>
    <t>W435MH00UX</t>
  </si>
  <si>
    <t>W1</t>
  </si>
  <si>
    <t>SMST70MH00XXPM</t>
  </si>
  <si>
    <t>W2</t>
  </si>
  <si>
    <t>W4150MH00UX</t>
  </si>
  <si>
    <t>C</t>
  </si>
  <si>
    <t>Bega</t>
  </si>
  <si>
    <t>7275MH</t>
  </si>
  <si>
    <t>`</t>
  </si>
  <si>
    <t>Total</t>
  </si>
  <si>
    <t>College Ave (Roadway)</t>
  </si>
  <si>
    <t>C2@180 R1</t>
  </si>
  <si>
    <t>Lithonia</t>
  </si>
  <si>
    <t>ATRL G XXXXX R3</t>
  </si>
  <si>
    <t>Controls</t>
  </si>
  <si>
    <t>Acuity</t>
  </si>
  <si>
    <t>College Ave (Area)</t>
  </si>
  <si>
    <t>AR1</t>
  </si>
  <si>
    <t>RSX4 LED P2 40K R3</t>
  </si>
  <si>
    <t>College Ave (Decorative)</t>
  </si>
  <si>
    <t>B2@180 TWIN R1</t>
  </si>
  <si>
    <t>AWDE3 P70 40K XXX AL5</t>
  </si>
  <si>
    <t>2 fixtures at 180 degrees - twin</t>
  </si>
  <si>
    <t>Capital Cost - Retrofit Scenario 1 (RS1)</t>
  </si>
  <si>
    <t>+ED Markup</t>
  </si>
  <si>
    <t>+EC Markup</t>
  </si>
  <si>
    <t>+Tax</t>
  </si>
  <si>
    <t>+Labor markup</t>
  </si>
  <si>
    <t>DN Pricing (unit)</t>
  </si>
  <si>
    <t>QTY Material Cost</t>
  </si>
  <si>
    <t>Labor cost</t>
  </si>
  <si>
    <t>QTY Labor Cost</t>
  </si>
  <si>
    <t>UNIT Total Cost</t>
  </si>
  <si>
    <t>QTY Total Cost</t>
  </si>
  <si>
    <t>RSX2 LED P6 40K R3</t>
  </si>
  <si>
    <t>BR1</t>
  </si>
  <si>
    <t>B2@180 R1</t>
  </si>
  <si>
    <t>PR1</t>
  </si>
  <si>
    <t>DSX0 LED P1 40K 70CRI T2M</t>
  </si>
  <si>
    <t>W1R1</t>
  </si>
  <si>
    <t>Cree</t>
  </si>
  <si>
    <t>C-WP-C-TR-S10L-SCCT-UL-DB</t>
  </si>
  <si>
    <t>W2R1</t>
  </si>
  <si>
    <t xml:space="preserve">	C-WP-C-TR-S6L-SCCT-UL-DB </t>
  </si>
  <si>
    <t>CR1</t>
  </si>
  <si>
    <t>RAB</t>
  </si>
  <si>
    <t>BLEDR24N</t>
  </si>
  <si>
    <t>Totals:</t>
  </si>
  <si>
    <t>Material Cost</t>
  </si>
  <si>
    <t>Total Cost</t>
  </si>
  <si>
    <t>Capital Cost - Retrofit Scenario 2 (RS2)</t>
  </si>
  <si>
    <t>AR2</t>
  </si>
  <si>
    <t>RSX2 LED P6 30K R3</t>
  </si>
  <si>
    <t>AR2@180</t>
  </si>
  <si>
    <t>RSX2 LED P2 30K R3</t>
  </si>
  <si>
    <t>AR2@180_B</t>
  </si>
  <si>
    <t>RSX2 LED P2 30K R3S</t>
  </si>
  <si>
    <t>AR2_B</t>
  </si>
  <si>
    <t>AR2_HS</t>
  </si>
  <si>
    <t>RSX2 LED P2 30K R2 HS</t>
  </si>
  <si>
    <t>B2@180 R2_B</t>
  </si>
  <si>
    <t>RSX2 LED P4 30K R3</t>
  </si>
  <si>
    <t>BR2_B</t>
  </si>
  <si>
    <t>PR2</t>
  </si>
  <si>
    <t>DSX0 LED P1 30K 70CRI T2M</t>
  </si>
  <si>
    <t>W1R2</t>
  </si>
  <si>
    <t>XSPW-B-WM-4ME-8L-30K-UL</t>
  </si>
  <si>
    <t>W2R2</t>
  </si>
  <si>
    <t>XSPW-B-WM-4ME-2L-30K-UL</t>
  </si>
  <si>
    <t>CR2</t>
  </si>
  <si>
    <t>Signify</t>
  </si>
  <si>
    <t>PBL-14L-450-WW-G2-5-UNV</t>
  </si>
  <si>
    <t>C2@180 R2B</t>
  </si>
  <si>
    <t>RSWX-B-HT-3ME-32L-30K7-Ux-xx-N</t>
  </si>
  <si>
    <t>RSX4 LED P3 30K R3</t>
  </si>
  <si>
    <t>B2@180 TWIN R2</t>
  </si>
  <si>
    <t>RN30-145W64LED3K-G3-LE5F</t>
  </si>
  <si>
    <t>Capital Cost - SUMMARY</t>
  </si>
  <si>
    <t>Retrofit 1</t>
  </si>
  <si>
    <t>Retrofit 2</t>
  </si>
  <si>
    <t>Site</t>
  </si>
  <si>
    <t>Material</t>
  </si>
  <si>
    <t>Installation</t>
  </si>
  <si>
    <t xml:space="preserve">ANNUAL Maintenance Cost - Base Case </t>
  </si>
  <si>
    <t>Relamping</t>
  </si>
  <si>
    <t xml:space="preserve"> Replace Ballast</t>
  </si>
  <si>
    <t>Fixture Cleaning</t>
  </si>
  <si>
    <t>Total Costs</t>
  </si>
  <si>
    <t>Estimated Life (hrs)</t>
  </si>
  <si>
    <t>Operating Hours</t>
  </si>
  <si>
    <t>Freq/Yr</t>
  </si>
  <si>
    <t>UNIT Cost</t>
  </si>
  <si>
    <t>QTY Cost</t>
  </si>
  <si>
    <t>Freq/yr</t>
  </si>
  <si>
    <t>UNIT</t>
  </si>
  <si>
    <t>QTY</t>
  </si>
  <si>
    <t>C2@180</t>
  </si>
  <si>
    <t>125 40S R3 DG</t>
  </si>
  <si>
    <t>Spaulding Lighting</t>
  </si>
  <si>
    <t>CE2-H1K-H3-F</t>
  </si>
  <si>
    <t>B2@180 TWIN</t>
  </si>
  <si>
    <t>WA250MH00X4X4</t>
  </si>
  <si>
    <t>ANNUAL Maintenance Cost - Retrofit Scenario 1 (RS1)</t>
  </si>
  <si>
    <t>Replace fixture</t>
  </si>
  <si>
    <t xml:space="preserve"> Replace driver</t>
  </si>
  <si>
    <t>Fixture cleaning</t>
  </si>
  <si>
    <t>ANNUAL Maintenance Cost - Retrofit Scenario 1 (RS2)</t>
  </si>
  <si>
    <t>Maintenance Cost - SUMMARY</t>
  </si>
  <si>
    <t>Yearly Maintenance Cost</t>
  </si>
  <si>
    <t>Lifetime Maintenance Cost</t>
  </si>
  <si>
    <t xml:space="preserve">Base Case </t>
  </si>
  <si>
    <t>Relamp</t>
  </si>
  <si>
    <t>Ballast</t>
  </si>
  <si>
    <t>Clean</t>
  </si>
  <si>
    <t>Replace</t>
  </si>
  <si>
    <t>ANNUAL Energy Cost (and cost savings) Calculations</t>
  </si>
  <si>
    <t>Adjusted hours (Hours * Load Shed Lvl)</t>
  </si>
  <si>
    <t>Annual Energy Consumption (kWh)</t>
  </si>
  <si>
    <t>Annual Energy Cost ($)</t>
  </si>
  <si>
    <t>Annual Energy Cost Savings</t>
  </si>
  <si>
    <t>Lifecycle Energy Cost Savings</t>
  </si>
  <si>
    <t>Power (kW)</t>
  </si>
  <si>
    <t>(Relative to Base Case)</t>
  </si>
  <si>
    <t>Axis Labels ----------------&gt;</t>
  </si>
  <si>
    <t>Rebate Calculations</t>
  </si>
  <si>
    <t>Xcel Rebates/Incentives (6-8 weeks after installing)</t>
  </si>
  <si>
    <t>Xcel Rebate</t>
  </si>
  <si>
    <t>Fort Collins Utility Rebate</t>
  </si>
  <si>
    <t>Area fixtures</t>
  </si>
  <si>
    <t>Per Fixture (Non-DLC)</t>
  </si>
  <si>
    <t>Per Fixture (DLC)</t>
  </si>
  <si>
    <t>Editable Fields for Fort Collins Utility Rebate</t>
  </si>
  <si>
    <t>45W-65W</t>
  </si>
  <si>
    <t>66W-89W</t>
  </si>
  <si>
    <t>Fixture:</t>
  </si>
  <si>
    <t xml:space="preserve"> per Watt of reduced load</t>
  </si>
  <si>
    <t>90W-119W</t>
  </si>
  <si>
    <t>Controls:</t>
  </si>
  <si>
    <t xml:space="preserve"> per Watt of controlled load</t>
  </si>
  <si>
    <t>120W-140W</t>
  </si>
  <si>
    <t>141W-199W</t>
  </si>
  <si>
    <t>200W-550W</t>
  </si>
  <si>
    <t>Street fixtures</t>
  </si>
  <si>
    <t>55W-79W</t>
  </si>
  <si>
    <t>80W-109W</t>
  </si>
  <si>
    <t>110W-139W</t>
  </si>
  <si>
    <t>140W-209W</t>
  </si>
  <si>
    <t>Axis Labels ---------------------------------------&gt;</t>
  </si>
  <si>
    <t>Wallpacks</t>
  </si>
  <si>
    <t>10W-25W</t>
  </si>
  <si>
    <t>26W-60W</t>
  </si>
  <si>
    <t>61W-150W</t>
  </si>
  <si>
    <t>Payback and ROI calculations</t>
  </si>
  <si>
    <t>Capital Cost ($)</t>
  </si>
  <si>
    <t>Rebates ($)</t>
  </si>
  <si>
    <t>Capital Cost Less Rebates ($)</t>
  </si>
  <si>
    <t>Annual Maintenance Cost ($)</t>
  </si>
  <si>
    <t>Annual Cost Savings (Relative to Base)</t>
  </si>
  <si>
    <t>Payback period</t>
  </si>
  <si>
    <t>Relamp/Replace</t>
  </si>
  <si>
    <t>Ballast/Driver</t>
  </si>
  <si>
    <t xml:space="preserve">Maintenance </t>
  </si>
  <si>
    <t>(Years)</t>
  </si>
  <si>
    <t>ROI</t>
  </si>
  <si>
    <t>ANNUAL operating hours - Calculations</t>
  </si>
  <si>
    <t>SunEarthTools.com</t>
  </si>
  <si>
    <t>Midnight</t>
  </si>
  <si>
    <t>3am</t>
  </si>
  <si>
    <t>coordinates: 40.5853804, -105.0847024</t>
  </si>
  <si>
    <t>location: 40.76000000,-73.98400000</t>
  </si>
  <si>
    <t>Dusk to dawn</t>
  </si>
  <si>
    <t>Dusk to midnight</t>
  </si>
  <si>
    <t>Midnight to dawn</t>
  </si>
  <si>
    <t>Dusk to 3am</t>
  </si>
  <si>
    <t>3am to dawn</t>
  </si>
  <si>
    <t>Date</t>
  </si>
  <si>
    <t>Sunrise</t>
  </si>
  <si>
    <t>Sunset</t>
  </si>
  <si>
    <t>01 Sun</t>
  </si>
  <si>
    <t>01 Wed</t>
  </si>
  <si>
    <t>01 Sat</t>
  </si>
  <si>
    <t>02 Mon</t>
  </si>
  <si>
    <t>02 Thu</t>
  </si>
  <si>
    <t>02 Sun</t>
  </si>
  <si>
    <t>03 Tue</t>
  </si>
  <si>
    <t>03 Fri</t>
  </si>
  <si>
    <t>03 Mon</t>
  </si>
  <si>
    <t>04 Wed</t>
  </si>
  <si>
    <t>04 Sat</t>
  </si>
  <si>
    <t>04 Tue</t>
  </si>
  <si>
    <t>05 Thu</t>
  </si>
  <si>
    <t>05 Sun</t>
  </si>
  <si>
    <t>05 Wed</t>
  </si>
  <si>
    <t>06 Fri</t>
  </si>
  <si>
    <t>06 Mon</t>
  </si>
  <si>
    <t>06 Thu</t>
  </si>
  <si>
    <t>07 Sat</t>
  </si>
  <si>
    <t>07 Tue</t>
  </si>
  <si>
    <t>07 Fri</t>
  </si>
  <si>
    <t>08 Sun</t>
  </si>
  <si>
    <t>08 Wed</t>
  </si>
  <si>
    <t>08 Sat</t>
  </si>
  <si>
    <t>09 Mon</t>
  </si>
  <si>
    <t>09 Thu</t>
  </si>
  <si>
    <t>09 Sun</t>
  </si>
  <si>
    <t>10 Tue</t>
  </si>
  <si>
    <t>10 Fri</t>
  </si>
  <si>
    <t>10 Mon</t>
  </si>
  <si>
    <t>11 Wed</t>
  </si>
  <si>
    <t>11 Sat</t>
  </si>
  <si>
    <t>11 Tue</t>
  </si>
  <si>
    <t>12 Thu</t>
  </si>
  <si>
    <t>12 Sun</t>
  </si>
  <si>
    <t>12 Wed</t>
  </si>
  <si>
    <t>13 Fri</t>
  </si>
  <si>
    <t>13 Mon</t>
  </si>
  <si>
    <t>13 Thu</t>
  </si>
  <si>
    <t>14 Sat</t>
  </si>
  <si>
    <t>14 Tue</t>
  </si>
  <si>
    <t>14 Fri</t>
  </si>
  <si>
    <t>15 Sun</t>
  </si>
  <si>
    <t>15 Wed</t>
  </si>
  <si>
    <t>15 Sat</t>
  </si>
  <si>
    <t>16 Mon</t>
  </si>
  <si>
    <t>16 Thu</t>
  </si>
  <si>
    <t>16 Sun</t>
  </si>
  <si>
    <t>17 Tue</t>
  </si>
  <si>
    <t>17 Fri</t>
  </si>
  <si>
    <t>17 Mon</t>
  </si>
  <si>
    <t>18 Wed</t>
  </si>
  <si>
    <t>18 Sat</t>
  </si>
  <si>
    <t>18 Tue</t>
  </si>
  <si>
    <t>19 Thu</t>
  </si>
  <si>
    <t>19 Sun</t>
  </si>
  <si>
    <t>19 Wed</t>
  </si>
  <si>
    <t>20 Fri</t>
  </si>
  <si>
    <t>20 Mon</t>
  </si>
  <si>
    <t>20 Thu</t>
  </si>
  <si>
    <t>21 Sat</t>
  </si>
  <si>
    <t>21 Tue</t>
  </si>
  <si>
    <t>21 Fri</t>
  </si>
  <si>
    <t>22 Sun</t>
  </si>
  <si>
    <t>22 Wed</t>
  </si>
  <si>
    <t>22 Sat</t>
  </si>
  <si>
    <t>23 Mon</t>
  </si>
  <si>
    <t>23 Thu</t>
  </si>
  <si>
    <t>23 Sun</t>
  </si>
  <si>
    <t>24 Tue</t>
  </si>
  <si>
    <t>24 Fri</t>
  </si>
  <si>
    <t>24 Mon</t>
  </si>
  <si>
    <t>25 Wed</t>
  </si>
  <si>
    <t>25 Sat</t>
  </si>
  <si>
    <t>25 Tue</t>
  </si>
  <si>
    <t>26 Thu</t>
  </si>
  <si>
    <t>26 Sun</t>
  </si>
  <si>
    <t>26 Wed</t>
  </si>
  <si>
    <t>27 Fri</t>
  </si>
  <si>
    <t>27 Mon</t>
  </si>
  <si>
    <t>27 Thu</t>
  </si>
  <si>
    <t>28 Sat</t>
  </si>
  <si>
    <t>28 Tue</t>
  </si>
  <si>
    <t>28 Fri</t>
  </si>
  <si>
    <t>29 Sun</t>
  </si>
  <si>
    <t>29 Wed</t>
  </si>
  <si>
    <t>29 Sat</t>
  </si>
  <si>
    <t>30 Mon</t>
  </si>
  <si>
    <t>30 Thu</t>
  </si>
  <si>
    <t>30 Sun</t>
  </si>
  <si>
    <t>31 Tue</t>
  </si>
  <si>
    <t>31 Fri</t>
  </si>
  <si>
    <t>01 Mon</t>
  </si>
  <si>
    <t>01 Thu</t>
  </si>
  <si>
    <t>01 Tue</t>
  </si>
  <si>
    <t>02 Tue</t>
  </si>
  <si>
    <t>02 Fri</t>
  </si>
  <si>
    <t>02 Wed</t>
  </si>
  <si>
    <t>03 Wed</t>
  </si>
  <si>
    <t>03 Sat</t>
  </si>
  <si>
    <t>03 Thu</t>
  </si>
  <si>
    <t>04 Thu</t>
  </si>
  <si>
    <t>04 Sun</t>
  </si>
  <si>
    <t>04 Fri</t>
  </si>
  <si>
    <t>05 Fri</t>
  </si>
  <si>
    <t>05 Mon</t>
  </si>
  <si>
    <t>05 Sat</t>
  </si>
  <si>
    <t>06 Sat</t>
  </si>
  <si>
    <t>06 Tue</t>
  </si>
  <si>
    <t>06 Sun</t>
  </si>
  <si>
    <t>07 Sun</t>
  </si>
  <si>
    <t>07 Wed</t>
  </si>
  <si>
    <t>07 Mon</t>
  </si>
  <si>
    <t>08 Mon</t>
  </si>
  <si>
    <t>08 Thu</t>
  </si>
  <si>
    <t>08 Tue</t>
  </si>
  <si>
    <t>09 Tue</t>
  </si>
  <si>
    <t>09 Fri</t>
  </si>
  <si>
    <t>09 Wed</t>
  </si>
  <si>
    <t>10 Wed</t>
  </si>
  <si>
    <t>10 Sat</t>
  </si>
  <si>
    <t>10 Thu</t>
  </si>
  <si>
    <t>11 Thu</t>
  </si>
  <si>
    <t>11 Sun</t>
  </si>
  <si>
    <t>11 Fri</t>
  </si>
  <si>
    <t>12 Fri</t>
  </si>
  <si>
    <t>12 Mon</t>
  </si>
  <si>
    <t>12 Sat</t>
  </si>
  <si>
    <t>13 Sat</t>
  </si>
  <si>
    <t>13 Tue</t>
  </si>
  <si>
    <t>13 Sun</t>
  </si>
  <si>
    <t>14 Sun</t>
  </si>
  <si>
    <t>14 Wed</t>
  </si>
  <si>
    <t>14 Mon</t>
  </si>
  <si>
    <t>15 Mon</t>
  </si>
  <si>
    <t>15 Thu</t>
  </si>
  <si>
    <t>15 Tue</t>
  </si>
  <si>
    <t>16 Tue</t>
  </si>
  <si>
    <t>16 Fri</t>
  </si>
  <si>
    <t>16 Wed</t>
  </si>
  <si>
    <t>17 Wed</t>
  </si>
  <si>
    <t>17 Sat</t>
  </si>
  <si>
    <t>17 Thu</t>
  </si>
  <si>
    <t>18 Thu</t>
  </si>
  <si>
    <t>18 Sun</t>
  </si>
  <si>
    <t>18 Fri</t>
  </si>
  <si>
    <t>19 Fri</t>
  </si>
  <si>
    <t>19 Mon</t>
  </si>
  <si>
    <t>19 Sat</t>
  </si>
  <si>
    <t>20 Sat</t>
  </si>
  <si>
    <t>20 Tue</t>
  </si>
  <si>
    <t>20 Sun</t>
  </si>
  <si>
    <t>21 Sun</t>
  </si>
  <si>
    <t>21 Wed</t>
  </si>
  <si>
    <t>21 Mon</t>
  </si>
  <si>
    <t>22 Mon</t>
  </si>
  <si>
    <t>22 Thu</t>
  </si>
  <si>
    <t>22 Tue</t>
  </si>
  <si>
    <t>23 Tue</t>
  </si>
  <si>
    <t>23 Fri</t>
  </si>
  <si>
    <t>23 Wed</t>
  </si>
  <si>
    <t>24 Wed</t>
  </si>
  <si>
    <t>24 Sat</t>
  </si>
  <si>
    <t>24 Thu</t>
  </si>
  <si>
    <t>25 Thu</t>
  </si>
  <si>
    <t>25 Sun</t>
  </si>
  <si>
    <t>25 Fri</t>
  </si>
  <si>
    <t>26 Fri</t>
  </si>
  <si>
    <t>26 Mon</t>
  </si>
  <si>
    <t>26 Sat</t>
  </si>
  <si>
    <t>27 Sat</t>
  </si>
  <si>
    <t>27 Tue</t>
  </si>
  <si>
    <t>27 Sun</t>
  </si>
  <si>
    <t>28 Sun</t>
  </si>
  <si>
    <t>28 Wed</t>
  </si>
  <si>
    <t>28 Mon</t>
  </si>
  <si>
    <t>29 Mon</t>
  </si>
  <si>
    <t>29 Thu</t>
  </si>
  <si>
    <t>29 Tue</t>
  </si>
  <si>
    <t>30 Tue</t>
  </si>
  <si>
    <t>30 Fri</t>
  </si>
  <si>
    <t>30 Wed</t>
  </si>
  <si>
    <t>31 Wed</t>
  </si>
  <si>
    <t>31 Mon</t>
  </si>
  <si>
    <t>31 Thu</t>
  </si>
  <si>
    <t>01 Fri</t>
  </si>
  <si>
    <t>02 Sat</t>
  </si>
  <si>
    <t>03 Sun</t>
  </si>
  <si>
    <t>04 Mon</t>
  </si>
  <si>
    <t>05 Tue</t>
  </si>
  <si>
    <t>06 Wed</t>
  </si>
  <si>
    <t>07 Thu</t>
  </si>
  <si>
    <t>08 Fri</t>
  </si>
  <si>
    <t>09 Sat</t>
  </si>
  <si>
    <t>10 Sun</t>
  </si>
  <si>
    <t>11 Mon</t>
  </si>
  <si>
    <t>12 Tue</t>
  </si>
  <si>
    <t>13 Wed</t>
  </si>
  <si>
    <t>14 Thu</t>
  </si>
  <si>
    <t>15 Fri</t>
  </si>
  <si>
    <t>16 Sat</t>
  </si>
  <si>
    <t>17 Sun</t>
  </si>
  <si>
    <t>18 Mon</t>
  </si>
  <si>
    <t>19 Tue</t>
  </si>
  <si>
    <t>20 Wed</t>
  </si>
  <si>
    <t>21 Thu</t>
  </si>
  <si>
    <t>22 Fri</t>
  </si>
  <si>
    <t>23 Sat</t>
  </si>
  <si>
    <t>24 Sun</t>
  </si>
  <si>
    <t>25 Mon</t>
  </si>
  <si>
    <t>26 Tue</t>
  </si>
  <si>
    <t>27 Wed</t>
  </si>
  <si>
    <t>28 Thu</t>
  </si>
  <si>
    <t>29 Fri</t>
  </si>
  <si>
    <t>30 Sat</t>
  </si>
  <si>
    <t>31 Sun</t>
  </si>
  <si>
    <t>ANNUAL operating hours - Summary</t>
  </si>
  <si>
    <t>Time (hr:mm)</t>
  </si>
  <si>
    <t>Time (fractional hours)</t>
  </si>
  <si>
    <t xml:space="preserve">Month </t>
  </si>
  <si>
    <t>Dusk to mignight</t>
  </si>
  <si>
    <t>January</t>
  </si>
  <si>
    <t>February</t>
  </si>
  <si>
    <t>March</t>
  </si>
  <si>
    <t>April</t>
  </si>
  <si>
    <t>May</t>
  </si>
  <si>
    <t>June</t>
  </si>
  <si>
    <t>July</t>
  </si>
  <si>
    <t>August</t>
  </si>
  <si>
    <t>September</t>
  </si>
  <si>
    <t>October</t>
  </si>
  <si>
    <t>November</t>
  </si>
  <si>
    <t>December</t>
  </si>
  <si>
    <t>Total Winter:</t>
  </si>
  <si>
    <t>Total Summer:</t>
  </si>
  <si>
    <t>Total Year:</t>
  </si>
  <si>
    <t xml:space="preserve">Hours </t>
  </si>
  <si>
    <t>Time Range</t>
  </si>
  <si>
    <t xml:space="preserve">Total:  </t>
  </si>
  <si>
    <t>&lt;------ Total hours from dusk to dawn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</si>
</sst>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h]:mm"/>
    <numFmt numFmtId="166" formatCode="0.000"/>
    <numFmt numFmtId="167" formatCode="_(* #,##0_);_(* \(#,##0\);_(* &quot;-&quot;??_);_(@_)"/>
    <numFmt numFmtId="168" formatCode="0.0000"/>
    <numFmt numFmtId="169" formatCode="_(&quot;$&quot;* #,##0_);_(&quot;$&quot;* \(#,##0\);_(&quot;$&quot;* &quot;-&quot;??_);_(@_)"/>
    <numFmt numFmtId="170" formatCode="0.0%"/>
    <numFmt numFmtId="171" formatCode="&quot;$&quot;#,##0"/>
  </numFmts>
  <fonts count="38">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8"/>
      <color theme="1"/>
      <name val="Calibri"/>
      <family val="2"/>
      <scheme val="minor"/>
    </font>
    <font>
      <b/>
      <sz val="14"/>
      <color rgb="FFFF0000"/>
      <name val="Calibri"/>
      <family val="2"/>
      <scheme val="minor"/>
    </font>
    <font>
      <b/>
      <sz val="11"/>
      <color rgb="FFFF0000"/>
      <name val="Calibri"/>
      <family val="2"/>
      <scheme val="minor"/>
    </font>
    <font>
      <sz val="11"/>
      <name val="Calibri"/>
      <family val="2"/>
      <scheme val="minor"/>
    </font>
    <font>
      <b/>
      <sz val="14"/>
      <color theme="1"/>
      <name val="Calibri"/>
      <family val="2"/>
      <scheme val="minor"/>
    </font>
    <font>
      <b/>
      <sz val="11"/>
      <color rgb="FF0070C0"/>
      <name val="Calibri"/>
      <family val="2"/>
      <scheme val="minor"/>
    </font>
    <font>
      <b/>
      <sz val="11"/>
      <color rgb="FF00B050"/>
      <name val="Calibri"/>
      <family val="2"/>
      <scheme val="minor"/>
    </font>
    <font>
      <b/>
      <sz val="11"/>
      <color rgb="FF7030A0"/>
      <name val="Calibri"/>
      <family val="2"/>
      <scheme val="minor"/>
    </font>
    <font>
      <b/>
      <sz val="9"/>
      <color indexed="81"/>
      <name val="Tahoma"/>
      <family val="2"/>
    </font>
    <font>
      <sz val="9"/>
      <color indexed="81"/>
      <name val="Tahoma"/>
      <family val="2"/>
    </font>
    <font>
      <b/>
      <sz val="18"/>
      <color theme="4"/>
      <name val="Calibri"/>
      <family val="2"/>
      <scheme val="minor"/>
    </font>
    <font>
      <b/>
      <sz val="11"/>
      <name val="Calibri"/>
      <family val="2"/>
      <scheme val="minor"/>
    </font>
    <font>
      <sz val="8"/>
      <name val="Calibri"/>
      <family val="2"/>
      <scheme val="minor"/>
    </font>
    <font>
      <b/>
      <sz val="12"/>
      <color theme="1"/>
      <name val="Calibri"/>
      <family val="2"/>
      <scheme val="minor"/>
    </font>
    <font>
      <sz val="11"/>
      <color theme="2" tint="-0.89999084444715716"/>
      <name val="Calibri"/>
      <family val="2"/>
      <scheme val="minor"/>
    </font>
    <font>
      <b/>
      <sz val="18"/>
      <name val="Calibri"/>
      <family val="2"/>
      <scheme val="minor"/>
    </font>
    <font>
      <b/>
      <sz val="14"/>
      <name val="Calibri"/>
      <family val="2"/>
      <scheme val="minor"/>
    </font>
    <font>
      <sz val="9"/>
      <name val="Geneva"/>
    </font>
    <font>
      <sz val="10"/>
      <name val="Calibri"/>
      <family val="2"/>
      <scheme val="minor"/>
    </font>
    <font>
      <b/>
      <sz val="10"/>
      <name val="Calibri"/>
      <family val="2"/>
      <scheme val="minor"/>
    </font>
    <font>
      <sz val="18"/>
      <name val="Calibri"/>
      <family val="2"/>
      <scheme val="minor"/>
    </font>
    <font>
      <b/>
      <sz val="11"/>
      <color theme="5"/>
      <name val="Calibri"/>
      <family val="2"/>
      <scheme val="minor"/>
    </font>
    <font>
      <b/>
      <sz val="11"/>
      <color theme="4"/>
      <name val="Calibri"/>
      <family val="2"/>
      <scheme val="minor"/>
    </font>
    <font>
      <b/>
      <sz val="11"/>
      <color theme="9"/>
      <name val="Calibri"/>
      <family val="2"/>
      <scheme val="minor"/>
    </font>
    <font>
      <b/>
      <sz val="11"/>
      <color rgb="FF774D83"/>
      <name val="Calibri"/>
      <family val="2"/>
      <scheme val="minor"/>
    </font>
    <font>
      <b/>
      <sz val="14"/>
      <color rgb="FF774D83"/>
      <name val="Calibri"/>
      <family val="2"/>
      <scheme val="minor"/>
    </font>
    <font>
      <b/>
      <sz val="14"/>
      <color theme="9"/>
      <name val="Calibri"/>
      <family val="2"/>
      <scheme val="minor"/>
    </font>
    <font>
      <b/>
      <sz val="14"/>
      <color theme="4"/>
      <name val="Calibri"/>
      <family val="2"/>
      <scheme val="minor"/>
    </font>
    <font>
      <b/>
      <sz val="14"/>
      <color theme="5"/>
      <name val="Calibri"/>
      <family val="2"/>
      <scheme val="minor"/>
    </font>
    <font>
      <sz val="10"/>
      <color rgb="FF000000"/>
      <name val="Calibri"/>
      <scheme val="minor"/>
    </font>
    <font>
      <b/>
      <sz val="10"/>
      <color rgb="FF000000"/>
      <name val="Calibri"/>
      <scheme val="minor"/>
    </font>
    <font>
      <sz val="10"/>
      <color rgb="FFFF0000"/>
      <name val="Calibri"/>
      <scheme val="minor"/>
    </font>
    <font>
      <i/>
      <sz val="10"/>
      <color rgb="FF000000"/>
      <name val="Calibri"/>
      <scheme val="minor"/>
    </font>
    <font>
      <sz val="10"/>
      <name val="Calibri"/>
      <scheme val="minor"/>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DC97"/>
        <bgColor indexed="64"/>
      </patternFill>
    </fill>
    <fill>
      <patternFill patternType="solid">
        <fgColor theme="0" tint="-0.14999847407452621"/>
        <bgColor indexed="64"/>
      </patternFill>
    </fill>
    <fill>
      <patternFill patternType="solid">
        <fgColor theme="6"/>
        <bgColor indexed="64"/>
      </patternFill>
    </fill>
  </fills>
  <borders count="35">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21" fillId="0" borderId="0"/>
  </cellStyleXfs>
  <cellXfs count="579">
    <xf numFmtId="0" fontId="0" fillId="0" borderId="0" xfId="0"/>
    <xf numFmtId="0" fontId="2" fillId="0" borderId="0" xfId="0" applyFont="1"/>
    <xf numFmtId="0" fontId="2" fillId="0" borderId="1" xfId="0" applyFont="1" applyBorder="1" applyAlignment="1">
      <alignment horizontal="center"/>
    </xf>
    <xf numFmtId="0" fontId="2" fillId="0" borderId="0" xfId="0" applyFont="1" applyAlignment="1">
      <alignment horizontal="center"/>
    </xf>
    <xf numFmtId="0" fontId="5" fillId="2" borderId="2" xfId="0" applyFont="1" applyFill="1" applyBorder="1" applyAlignment="1">
      <alignment horizontal="left"/>
    </xf>
    <xf numFmtId="0" fontId="6" fillId="2" borderId="3" xfId="0" applyFont="1" applyFill="1" applyBorder="1" applyAlignment="1">
      <alignment horizontal="left"/>
    </xf>
    <xf numFmtId="0" fontId="0" fillId="2" borderId="3" xfId="0" applyFill="1" applyBorder="1" applyAlignment="1">
      <alignment horizontal="center"/>
    </xf>
    <xf numFmtId="0" fontId="0" fillId="2" borderId="3" xfId="0" applyFill="1" applyBorder="1"/>
    <xf numFmtId="0" fontId="0" fillId="2" borderId="4" xfId="0" applyFill="1" applyBorder="1"/>
    <xf numFmtId="0" fontId="2" fillId="2" borderId="1" xfId="0" applyFont="1" applyFill="1" applyBorder="1"/>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right"/>
    </xf>
    <xf numFmtId="0" fontId="2" fillId="2" borderId="0" xfId="0" quotePrefix="1" applyFont="1" applyFill="1" applyAlignment="1">
      <alignment horizontal="right"/>
    </xf>
    <xf numFmtId="0" fontId="2" fillId="2" borderId="5" xfId="0" applyFont="1" applyFill="1" applyBorder="1" applyAlignment="1">
      <alignment horizontal="right"/>
    </xf>
    <xf numFmtId="0" fontId="2" fillId="2" borderId="6" xfId="0" applyFont="1" applyFill="1" applyBorder="1"/>
    <xf numFmtId="0" fontId="2" fillId="2" borderId="7" xfId="0" applyFont="1" applyFill="1" applyBorder="1"/>
    <xf numFmtId="0" fontId="2" fillId="2" borderId="7" xfId="0" applyFont="1" applyFill="1" applyBorder="1" applyAlignment="1">
      <alignment horizontal="right"/>
    </xf>
    <xf numFmtId="9" fontId="2" fillId="3" borderId="7" xfId="2" applyFont="1" applyFill="1" applyBorder="1" applyAlignment="1">
      <alignment horizontal="right"/>
    </xf>
    <xf numFmtId="10" fontId="2" fillId="3" borderId="7" xfId="2" applyNumberFormat="1" applyFont="1" applyFill="1" applyBorder="1" applyAlignment="1">
      <alignment horizontal="right"/>
    </xf>
    <xf numFmtId="0" fontId="2" fillId="2" borderId="8" xfId="0" applyFont="1" applyFill="1" applyBorder="1" applyAlignment="1">
      <alignment horizontal="right"/>
    </xf>
    <xf numFmtId="0" fontId="0" fillId="0" borderId="9" xfId="0" applyBorder="1"/>
    <xf numFmtId="0" fontId="0" fillId="3" borderId="0" xfId="0" applyFill="1" applyAlignment="1">
      <alignment horizontal="center"/>
    </xf>
    <xf numFmtId="44" fontId="0" fillId="0" borderId="9" xfId="1" applyFont="1" applyFill="1" applyBorder="1" applyAlignment="1">
      <alignment horizontal="right"/>
    </xf>
    <xf numFmtId="44" fontId="0" fillId="0" borderId="0" xfId="1" applyFont="1" applyFill="1" applyBorder="1" applyAlignment="1">
      <alignment horizontal="right"/>
    </xf>
    <xf numFmtId="44" fontId="0" fillId="0" borderId="1" xfId="1" applyFont="1" applyFill="1" applyBorder="1" applyAlignment="1">
      <alignment horizontal="right"/>
    </xf>
    <xf numFmtId="44" fontId="0" fillId="0" borderId="9" xfId="1" applyFont="1" applyBorder="1" applyAlignment="1">
      <alignment horizontal="right"/>
    </xf>
    <xf numFmtId="0" fontId="7" fillId="0" borderId="9" xfId="3" applyFont="1" applyBorder="1"/>
    <xf numFmtId="0" fontId="0" fillId="0" borderId="9" xfId="0" applyBorder="1" applyAlignment="1">
      <alignment horizontal="center"/>
    </xf>
    <xf numFmtId="0" fontId="7" fillId="0" borderId="9" xfId="0" applyFont="1" applyBorder="1"/>
    <xf numFmtId="0" fontId="0" fillId="0" borderId="10" xfId="0" applyBorder="1"/>
    <xf numFmtId="0" fontId="0" fillId="0" borderId="7" xfId="0" applyBorder="1"/>
    <xf numFmtId="0" fontId="0" fillId="3" borderId="7" xfId="0" applyFill="1" applyBorder="1" applyAlignment="1">
      <alignment horizontal="center"/>
    </xf>
    <xf numFmtId="44" fontId="0" fillId="0" borderId="10" xfId="1" applyFont="1" applyFill="1" applyBorder="1" applyAlignment="1">
      <alignment horizontal="right"/>
    </xf>
    <xf numFmtId="44" fontId="0" fillId="0" borderId="6" xfId="1" applyFont="1" applyFill="1" applyBorder="1" applyAlignment="1">
      <alignment horizontal="right"/>
    </xf>
    <xf numFmtId="44" fontId="0" fillId="0" borderId="10" xfId="1" applyFont="1" applyBorder="1" applyAlignment="1">
      <alignment horizontal="right"/>
    </xf>
    <xf numFmtId="44" fontId="0" fillId="0" borderId="11" xfId="1" applyFont="1" applyFill="1" applyBorder="1" applyAlignment="1">
      <alignment horizontal="right"/>
    </xf>
    <xf numFmtId="44" fontId="0" fillId="0" borderId="11" xfId="1" applyFont="1" applyBorder="1" applyAlignment="1">
      <alignment horizontal="right"/>
    </xf>
    <xf numFmtId="0" fontId="0" fillId="0" borderId="0" xfId="0" applyAlignment="1">
      <alignment horizontal="center"/>
    </xf>
    <xf numFmtId="44" fontId="7" fillId="0" borderId="0" xfId="1" applyFont="1" applyBorder="1" applyAlignment="1">
      <alignment horizontal="right" vertical="center"/>
    </xf>
    <xf numFmtId="44" fontId="0" fillId="0" borderId="0" xfId="1" applyFont="1" applyBorder="1" applyAlignment="1">
      <alignment horizontal="right"/>
    </xf>
    <xf numFmtId="0" fontId="0" fillId="0" borderId="0" xfId="0" applyAlignment="1">
      <alignment horizontal="right"/>
    </xf>
    <xf numFmtId="44" fontId="2" fillId="0" borderId="0" xfId="1" applyFont="1" applyAlignment="1">
      <alignment horizontal="right"/>
    </xf>
    <xf numFmtId="0" fontId="8" fillId="0" borderId="11" xfId="0" applyFont="1" applyBorder="1" applyAlignment="1">
      <alignment horizontal="right"/>
    </xf>
    <xf numFmtId="44" fontId="8" fillId="0" borderId="11" xfId="1" applyFont="1" applyBorder="1" applyAlignment="1">
      <alignment horizontal="right"/>
    </xf>
    <xf numFmtId="44" fontId="8" fillId="0" borderId="0" xfId="1" applyFont="1" applyBorder="1" applyAlignment="1">
      <alignment horizontal="right"/>
    </xf>
    <xf numFmtId="44" fontId="8" fillId="4" borderId="11" xfId="1" applyFont="1" applyFill="1" applyBorder="1" applyAlignment="1">
      <alignment horizontal="right"/>
    </xf>
    <xf numFmtId="0" fontId="0" fillId="0" borderId="1" xfId="0" applyBorder="1"/>
    <xf numFmtId="0" fontId="9" fillId="2" borderId="3" xfId="0" applyFont="1" applyFill="1" applyBorder="1"/>
    <xf numFmtId="0" fontId="7" fillId="0" borderId="6" xfId="3" applyFont="1" applyBorder="1"/>
    <xf numFmtId="0" fontId="0" fillId="3" borderId="10" xfId="0" applyFill="1" applyBorder="1" applyAlignment="1">
      <alignment horizontal="center"/>
    </xf>
    <xf numFmtId="0" fontId="0" fillId="0" borderId="11" xfId="0" applyBorder="1" applyAlignment="1">
      <alignment horizontal="center"/>
    </xf>
    <xf numFmtId="44" fontId="0" fillId="0" borderId="11" xfId="1" applyFont="1" applyBorder="1"/>
    <xf numFmtId="0" fontId="7" fillId="0" borderId="11" xfId="3" applyFont="1" applyBorder="1"/>
    <xf numFmtId="0" fontId="0" fillId="0" borderId="3" xfId="0" applyBorder="1"/>
    <xf numFmtId="0" fontId="0" fillId="0" borderId="11" xfId="0" applyBorder="1"/>
    <xf numFmtId="0" fontId="0" fillId="3" borderId="11" xfId="0" applyFill="1" applyBorder="1" applyAlignment="1">
      <alignment horizontal="center"/>
    </xf>
    <xf numFmtId="0" fontId="0" fillId="0" borderId="3" xfId="0" applyBorder="1" applyAlignment="1">
      <alignment horizontal="center"/>
    </xf>
    <xf numFmtId="44" fontId="0" fillId="0" borderId="4" xfId="1" applyFont="1" applyBorder="1"/>
    <xf numFmtId="0" fontId="7" fillId="0" borderId="1" xfId="3" applyFont="1" applyBorder="1"/>
    <xf numFmtId="44" fontId="2" fillId="0" borderId="0" xfId="1" applyFont="1"/>
    <xf numFmtId="0" fontId="2" fillId="0" borderId="0" xfId="0" applyFont="1" applyAlignment="1">
      <alignment horizontal="right"/>
    </xf>
    <xf numFmtId="0" fontId="10" fillId="2" borderId="3" xfId="0" applyFont="1" applyFill="1" applyBorder="1"/>
    <xf numFmtId="0" fontId="0" fillId="0" borderId="2" xfId="0" applyBorder="1"/>
    <xf numFmtId="44" fontId="0" fillId="3" borderId="11" xfId="1" applyFont="1" applyFill="1" applyBorder="1"/>
    <xf numFmtId="44" fontId="0" fillId="0" borderId="3" xfId="1" applyFont="1" applyFill="1" applyBorder="1"/>
    <xf numFmtId="44" fontId="0" fillId="0" borderId="3" xfId="1" applyFont="1" applyBorder="1"/>
    <xf numFmtId="44" fontId="0" fillId="0" borderId="11" xfId="0" applyNumberFormat="1" applyBorder="1"/>
    <xf numFmtId="0" fontId="7" fillId="0" borderId="2" xfId="3" applyFont="1" applyBorder="1"/>
    <xf numFmtId="0" fontId="11" fillId="2" borderId="3" xfId="0" applyFont="1" applyFill="1" applyBorder="1"/>
    <xf numFmtId="44" fontId="7" fillId="0" borderId="0" xfId="1" applyFont="1" applyBorder="1"/>
    <xf numFmtId="44" fontId="0" fillId="0" borderId="0" xfId="1" applyFont="1" applyBorder="1"/>
    <xf numFmtId="44" fontId="0" fillId="0" borderId="0" xfId="0" applyNumberFormat="1"/>
    <xf numFmtId="0" fontId="0" fillId="0" borderId="12" xfId="0" applyBorder="1"/>
    <xf numFmtId="0" fontId="0" fillId="3" borderId="12" xfId="0" applyFill="1" applyBorder="1" applyAlignment="1">
      <alignment horizontal="center"/>
    </xf>
    <xf numFmtId="0" fontId="0" fillId="0" borderId="13" xfId="0" applyBorder="1"/>
    <xf numFmtId="44" fontId="0" fillId="0" borderId="12" xfId="1" applyFont="1" applyBorder="1"/>
    <xf numFmtId="44" fontId="0" fillId="0" borderId="13" xfId="1" applyFont="1" applyBorder="1"/>
    <xf numFmtId="0" fontId="7" fillId="0" borderId="0" xfId="3" applyFont="1"/>
    <xf numFmtId="0" fontId="0" fillId="3" borderId="9" xfId="0" applyFill="1" applyBorder="1" applyAlignment="1">
      <alignment horizontal="center"/>
    </xf>
    <xf numFmtId="44" fontId="0" fillId="0" borderId="9" xfId="1" applyFont="1" applyBorder="1"/>
    <xf numFmtId="0" fontId="7" fillId="0" borderId="0" xfId="0" applyFont="1"/>
    <xf numFmtId="44" fontId="0" fillId="0" borderId="6" xfId="1" applyFont="1" applyBorder="1"/>
    <xf numFmtId="0" fontId="0" fillId="3" borderId="3" xfId="0" applyFill="1" applyBorder="1" applyAlignment="1">
      <alignment horizontal="center"/>
    </xf>
    <xf numFmtId="44" fontId="1" fillId="0" borderId="0" xfId="1" applyFont="1"/>
    <xf numFmtId="0" fontId="0" fillId="0" borderId="14" xfId="0" applyBorder="1"/>
    <xf numFmtId="44" fontId="0" fillId="0" borderId="10" xfId="1" applyFont="1" applyBorder="1"/>
    <xf numFmtId="0" fontId="7" fillId="0" borderId="14" xfId="3" applyFont="1" applyBorder="1"/>
    <xf numFmtId="0" fontId="7" fillId="0" borderId="12" xfId="0" applyFont="1" applyBorder="1"/>
    <xf numFmtId="0" fontId="0" fillId="0" borderId="13" xfId="0" applyBorder="1" applyAlignment="1">
      <alignment horizontal="center"/>
    </xf>
    <xf numFmtId="44" fontId="0" fillId="0" borderId="15" xfId="1" applyFont="1" applyBorder="1"/>
    <xf numFmtId="0" fontId="7" fillId="0" borderId="0" xfId="3" applyFont="1" applyBorder="1"/>
    <xf numFmtId="44" fontId="0" fillId="0" borderId="7" xfId="0" applyNumberFormat="1" applyBorder="1"/>
    <xf numFmtId="44" fontId="0" fillId="0" borderId="3" xfId="0" applyNumberFormat="1" applyBorder="1"/>
    <xf numFmtId="0" fontId="0" fillId="2" borderId="7" xfId="0" applyFill="1" applyBorder="1" applyAlignment="1">
      <alignment horizontal="center"/>
    </xf>
    <xf numFmtId="0" fontId="2" fillId="2" borderId="13" xfId="0" applyFont="1" applyFill="1" applyBorder="1"/>
    <xf numFmtId="0" fontId="0" fillId="0" borderId="0" xfId="0" applyAlignment="1">
      <alignment wrapText="1"/>
    </xf>
    <xf numFmtId="0" fontId="0" fillId="0" borderId="0" xfId="0" applyAlignment="1">
      <alignment horizontal="center" wrapText="1"/>
    </xf>
    <xf numFmtId="0" fontId="2" fillId="0" borderId="0" xfId="0" applyFont="1" applyAlignment="1">
      <alignment horizontal="center" wrapText="1"/>
    </xf>
    <xf numFmtId="0" fontId="0" fillId="0" borderId="0" xfId="0" applyAlignment="1">
      <alignment horizontal="left"/>
    </xf>
    <xf numFmtId="46" fontId="0" fillId="0" borderId="0" xfId="0" applyNumberFormat="1" applyAlignment="1">
      <alignment horizontal="center" wrapText="1"/>
    </xf>
    <xf numFmtId="21" fontId="0" fillId="0" borderId="0" xfId="0" applyNumberFormat="1" applyAlignment="1">
      <alignment horizontal="center" wrapText="1"/>
    </xf>
    <xf numFmtId="0" fontId="0" fillId="0" borderId="0" xfId="0" applyAlignment="1">
      <alignment horizontal="left" wrapText="1"/>
    </xf>
    <xf numFmtId="17" fontId="15" fillId="2" borderId="0" xfId="0" applyNumberFormat="1" applyFont="1" applyFill="1" applyAlignment="1">
      <alignment horizontal="center" wrapText="1"/>
    </xf>
    <xf numFmtId="17" fontId="2" fillId="2" borderId="0" xfId="0" applyNumberFormat="1" applyFont="1" applyFill="1" applyAlignment="1">
      <alignment horizontal="center" wrapText="1"/>
    </xf>
    <xf numFmtId="17" fontId="2" fillId="0" borderId="0" xfId="0" applyNumberFormat="1" applyFont="1" applyAlignment="1">
      <alignment horizontal="right" wrapText="1"/>
    </xf>
    <xf numFmtId="0" fontId="2" fillId="0" borderId="7" xfId="0" applyFont="1" applyBorder="1"/>
    <xf numFmtId="0" fontId="2" fillId="2" borderId="7" xfId="0" applyFont="1" applyFill="1" applyBorder="1" applyAlignment="1">
      <alignment wrapText="1"/>
    </xf>
    <xf numFmtId="0" fontId="2" fillId="2" borderId="7" xfId="0" applyFont="1" applyFill="1" applyBorder="1" applyAlignment="1">
      <alignment horizontal="left" wrapText="1"/>
    </xf>
    <xf numFmtId="0" fontId="0" fillId="2" borderId="7" xfId="0" applyFill="1" applyBorder="1" applyAlignment="1">
      <alignment horizontal="center" wrapText="1"/>
    </xf>
    <xf numFmtId="0" fontId="2" fillId="0" borderId="0" xfId="0" applyFont="1" applyAlignment="1">
      <alignment wrapText="1"/>
    </xf>
    <xf numFmtId="21" fontId="0" fillId="0" borderId="0" xfId="0" applyNumberFormat="1" applyAlignment="1">
      <alignment wrapText="1"/>
    </xf>
    <xf numFmtId="21" fontId="0" fillId="0" borderId="0" xfId="0" applyNumberFormat="1" applyAlignment="1">
      <alignment horizontal="right" wrapText="1"/>
    </xf>
    <xf numFmtId="21" fontId="0" fillId="0" borderId="0" xfId="0" applyNumberFormat="1"/>
    <xf numFmtId="21" fontId="0" fillId="0" borderId="0" xfId="0" applyNumberFormat="1" applyAlignment="1">
      <alignment horizontal="right"/>
    </xf>
    <xf numFmtId="21" fontId="0" fillId="0" borderId="0" xfId="0" applyNumberFormat="1" applyAlignment="1">
      <alignment horizontal="center"/>
    </xf>
    <xf numFmtId="46" fontId="0" fillId="0" borderId="0" xfId="0" applyNumberFormat="1"/>
    <xf numFmtId="0" fontId="2" fillId="0" borderId="0" xfId="0" applyFont="1" applyAlignment="1">
      <alignment horizontal="left" wrapText="1"/>
    </xf>
    <xf numFmtId="2" fontId="0" fillId="0" borderId="0" xfId="0" applyNumberFormat="1"/>
    <xf numFmtId="0" fontId="0" fillId="0" borderId="7" xfId="0" applyBorder="1" applyAlignment="1">
      <alignment horizontal="left" wrapText="1"/>
    </xf>
    <xf numFmtId="21" fontId="0" fillId="0" borderId="7" xfId="0" applyNumberFormat="1" applyBorder="1" applyAlignment="1">
      <alignment horizontal="center" wrapText="1"/>
    </xf>
    <xf numFmtId="21" fontId="0" fillId="0" borderId="7" xfId="0" applyNumberFormat="1" applyBorder="1" applyAlignment="1">
      <alignment horizontal="center"/>
    </xf>
    <xf numFmtId="46" fontId="2" fillId="0" borderId="0" xfId="0" applyNumberFormat="1" applyFont="1" applyAlignment="1">
      <alignment horizontal="center" wrapText="1"/>
    </xf>
    <xf numFmtId="0" fontId="2" fillId="0" borderId="7" xfId="0" applyFont="1" applyBorder="1" applyAlignment="1">
      <alignment horizontal="left" wrapText="1"/>
    </xf>
    <xf numFmtId="0" fontId="0" fillId="0" borderId="7" xfId="0" applyBorder="1" applyAlignment="1">
      <alignment wrapText="1"/>
    </xf>
    <xf numFmtId="21" fontId="0" fillId="0" borderId="7" xfId="0" applyNumberFormat="1" applyBorder="1" applyAlignment="1">
      <alignment wrapText="1"/>
    </xf>
    <xf numFmtId="21" fontId="0" fillId="0" borderId="7" xfId="0" applyNumberFormat="1" applyBorder="1" applyAlignment="1">
      <alignment horizontal="right" wrapText="1"/>
    </xf>
    <xf numFmtId="21" fontId="0" fillId="0" borderId="7" xfId="0" applyNumberFormat="1" applyBorder="1" applyAlignment="1">
      <alignment horizontal="right"/>
    </xf>
    <xf numFmtId="0" fontId="2" fillId="0" borderId="0" xfId="0" applyFont="1" applyAlignment="1">
      <alignment horizontal="right" wrapText="1"/>
    </xf>
    <xf numFmtId="46" fontId="2" fillId="0" borderId="0" xfId="0" applyNumberFormat="1" applyFont="1" applyAlignment="1">
      <alignment wrapText="1"/>
    </xf>
    <xf numFmtId="17" fontId="15" fillId="2" borderId="7" xfId="0" applyNumberFormat="1" applyFont="1" applyFill="1" applyBorder="1" applyAlignment="1">
      <alignment horizontal="center" wrapText="1"/>
    </xf>
    <xf numFmtId="17" fontId="2" fillId="2" borderId="7" xfId="0" applyNumberFormat="1" applyFont="1" applyFill="1" applyBorder="1" applyAlignment="1">
      <alignment horizontal="center" wrapText="1"/>
    </xf>
    <xf numFmtId="0" fontId="0" fillId="2" borderId="0" xfId="0" applyFill="1"/>
    <xf numFmtId="21" fontId="0" fillId="0" borderId="13" xfId="0" applyNumberFormat="1" applyBorder="1"/>
    <xf numFmtId="164" fontId="0" fillId="5" borderId="0" xfId="0" applyNumberFormat="1" applyFill="1" applyAlignment="1">
      <alignment horizontal="center"/>
    </xf>
    <xf numFmtId="164" fontId="0" fillId="6" borderId="13" xfId="0" applyNumberFormat="1" applyFill="1" applyBorder="1" applyAlignment="1">
      <alignment horizontal="center"/>
    </xf>
    <xf numFmtId="164" fontId="0" fillId="6" borderId="0" xfId="0" applyNumberFormat="1" applyFill="1" applyAlignment="1">
      <alignment horizontal="center"/>
    </xf>
    <xf numFmtId="164" fontId="0" fillId="6" borderId="7" xfId="0" applyNumberFormat="1" applyFill="1" applyBorder="1" applyAlignment="1">
      <alignment horizontal="center"/>
    </xf>
    <xf numFmtId="164" fontId="0" fillId="5" borderId="7" xfId="0" applyNumberFormat="1" applyFill="1" applyBorder="1" applyAlignment="1">
      <alignment horizontal="center"/>
    </xf>
    <xf numFmtId="164" fontId="0" fillId="7" borderId="7" xfId="0" applyNumberFormat="1" applyFill="1" applyBorder="1" applyAlignment="1">
      <alignment horizontal="center"/>
    </xf>
    <xf numFmtId="0" fontId="0" fillId="0" borderId="7" xfId="0" applyBorder="1" applyAlignment="1">
      <alignment horizontal="center"/>
    </xf>
    <xf numFmtId="46" fontId="0" fillId="0" borderId="13" xfId="0" applyNumberFormat="1" applyBorder="1" applyAlignment="1">
      <alignment horizontal="center"/>
    </xf>
    <xf numFmtId="46" fontId="0" fillId="0" borderId="0" xfId="0" applyNumberFormat="1" applyAlignment="1">
      <alignment horizontal="center"/>
    </xf>
    <xf numFmtId="46" fontId="0" fillId="0" borderId="7" xfId="0" applyNumberFormat="1" applyBorder="1" applyAlignment="1">
      <alignment horizontal="center"/>
    </xf>
    <xf numFmtId="0" fontId="17" fillId="2" borderId="7" xfId="0" applyFont="1" applyFill="1" applyBorder="1"/>
    <xf numFmtId="44" fontId="0" fillId="0" borderId="0" xfId="1" applyFont="1" applyFill="1" applyBorder="1"/>
    <xf numFmtId="165" fontId="0" fillId="0" borderId="0" xfId="0" applyNumberFormat="1" applyAlignment="1">
      <alignment horizontal="center"/>
    </xf>
    <xf numFmtId="165" fontId="0" fillId="0" borderId="13" xfId="0" applyNumberFormat="1" applyBorder="1" applyAlignment="1">
      <alignment horizontal="center"/>
    </xf>
    <xf numFmtId="165" fontId="0" fillId="0" borderId="7" xfId="0" applyNumberFormat="1" applyBorder="1" applyAlignment="1">
      <alignment horizontal="center"/>
    </xf>
    <xf numFmtId="164" fontId="0" fillId="5" borderId="13" xfId="0" applyNumberFormat="1" applyFill="1" applyBorder="1" applyAlignment="1">
      <alignment horizontal="center"/>
    </xf>
    <xf numFmtId="1" fontId="0" fillId="0" borderId="0" xfId="0" applyNumberFormat="1"/>
    <xf numFmtId="0" fontId="2" fillId="6" borderId="3" xfId="0" applyFont="1" applyFill="1" applyBorder="1" applyAlignment="1">
      <alignment horizontal="center"/>
    </xf>
    <xf numFmtId="1" fontId="0" fillId="6" borderId="0" xfId="0" applyNumberFormat="1" applyFill="1" applyAlignment="1">
      <alignment horizontal="center"/>
    </xf>
    <xf numFmtId="1" fontId="0" fillId="6" borderId="7" xfId="0" applyNumberFormat="1" applyFill="1" applyBorder="1" applyAlignment="1">
      <alignment horizontal="center"/>
    </xf>
    <xf numFmtId="0" fontId="2" fillId="5" borderId="3" xfId="0" applyFont="1" applyFill="1" applyBorder="1" applyAlignment="1">
      <alignment horizontal="center"/>
    </xf>
    <xf numFmtId="1" fontId="0" fillId="5" borderId="0" xfId="0" applyNumberFormat="1" applyFill="1" applyAlignment="1">
      <alignment horizontal="center"/>
    </xf>
    <xf numFmtId="1" fontId="0" fillId="5" borderId="7" xfId="0" applyNumberFormat="1" applyFill="1" applyBorder="1" applyAlignment="1">
      <alignment horizontal="center"/>
    </xf>
    <xf numFmtId="1" fontId="2" fillId="4" borderId="11" xfId="0" applyNumberFormat="1" applyFont="1" applyFill="1" applyBorder="1" applyAlignment="1">
      <alignment horizontal="center"/>
    </xf>
    <xf numFmtId="0" fontId="0" fillId="2" borderId="13" xfId="0" applyFill="1" applyBorder="1"/>
    <xf numFmtId="0" fontId="2" fillId="2" borderId="7" xfId="0" applyFont="1" applyFill="1" applyBorder="1" applyAlignment="1">
      <alignment vertical="top"/>
    </xf>
    <xf numFmtId="0" fontId="0" fillId="0" borderId="2" xfId="0" applyBorder="1" applyAlignment="1">
      <alignment horizontal="center"/>
    </xf>
    <xf numFmtId="44" fontId="7" fillId="3" borderId="0" xfId="1" applyFont="1" applyFill="1" applyBorder="1" applyAlignment="1">
      <alignment horizontal="right"/>
    </xf>
    <xf numFmtId="0" fontId="0" fillId="0" borderId="0" xfId="0" quotePrefix="1"/>
    <xf numFmtId="0" fontId="18" fillId="0" borderId="9" xfId="0" applyFont="1" applyBorder="1"/>
    <xf numFmtId="0" fontId="18" fillId="0" borderId="0" xfId="0" applyFont="1"/>
    <xf numFmtId="0" fontId="18" fillId="0" borderId="9" xfId="3" applyFont="1" applyBorder="1"/>
    <xf numFmtId="0" fontId="18" fillId="0" borderId="10" xfId="0" applyFont="1" applyBorder="1"/>
    <xf numFmtId="0" fontId="18" fillId="0" borderId="7" xfId="0" applyFont="1" applyBorder="1"/>
    <xf numFmtId="44" fontId="18" fillId="3" borderId="0" xfId="1" applyFont="1" applyFill="1" applyBorder="1" applyAlignment="1">
      <alignment horizontal="right"/>
    </xf>
    <xf numFmtId="44" fontId="18" fillId="3" borderId="7" xfId="1" applyFont="1" applyFill="1" applyBorder="1" applyAlignment="1">
      <alignment horizontal="right"/>
    </xf>
    <xf numFmtId="0" fontId="18" fillId="0" borderId="11" xfId="3" applyFont="1" applyBorder="1"/>
    <xf numFmtId="0" fontId="18" fillId="0" borderId="3" xfId="0" applyFont="1" applyBorder="1"/>
    <xf numFmtId="0" fontId="18" fillId="0" borderId="11" xfId="0" applyFont="1" applyBorder="1"/>
    <xf numFmtId="0" fontId="6" fillId="2" borderId="3" xfId="0" applyFont="1" applyFill="1" applyBorder="1" applyAlignment="1">
      <alignment horizontal="center"/>
    </xf>
    <xf numFmtId="2" fontId="7" fillId="3" borderId="7" xfId="0" applyNumberFormat="1" applyFont="1" applyFill="1" applyBorder="1" applyAlignment="1">
      <alignment horizontal="center"/>
    </xf>
    <xf numFmtId="0" fontId="2" fillId="5" borderId="7" xfId="0" applyFont="1" applyFill="1" applyBorder="1" applyAlignment="1">
      <alignment horizontal="center"/>
    </xf>
    <xf numFmtId="166" fontId="0" fillId="0" borderId="0" xfId="0" applyNumberFormat="1" applyAlignment="1">
      <alignment horizontal="center"/>
    </xf>
    <xf numFmtId="1" fontId="2" fillId="5" borderId="7" xfId="0" applyNumberFormat="1" applyFont="1" applyFill="1" applyBorder="1" applyAlignment="1">
      <alignment horizontal="center"/>
    </xf>
    <xf numFmtId="0" fontId="6" fillId="2" borderId="13" xfId="0" applyFont="1" applyFill="1" applyBorder="1" applyAlignment="1">
      <alignment horizontal="left"/>
    </xf>
    <xf numFmtId="0" fontId="0" fillId="2" borderId="13" xfId="0" applyFill="1" applyBorder="1" applyAlignment="1">
      <alignment horizontal="center"/>
    </xf>
    <xf numFmtId="0" fontId="2" fillId="6" borderId="19" xfId="0" applyFont="1" applyFill="1" applyBorder="1" applyAlignment="1">
      <alignment horizontal="center"/>
    </xf>
    <xf numFmtId="0" fontId="2" fillId="2" borderId="20" xfId="0" applyFont="1" applyFill="1" applyBorder="1" applyAlignment="1">
      <alignment horizontal="center"/>
    </xf>
    <xf numFmtId="1" fontId="0" fillId="6" borderId="21" xfId="0" applyNumberFormat="1" applyFill="1" applyBorder="1" applyAlignment="1">
      <alignment horizontal="center"/>
    </xf>
    <xf numFmtId="1" fontId="0" fillId="0" borderId="22" xfId="0" applyNumberFormat="1" applyBorder="1" applyAlignment="1">
      <alignment horizontal="center"/>
    </xf>
    <xf numFmtId="1" fontId="0" fillId="6" borderId="19" xfId="0" applyNumberFormat="1" applyFill="1" applyBorder="1" applyAlignment="1">
      <alignment horizontal="center"/>
    </xf>
    <xf numFmtId="1" fontId="0" fillId="0" borderId="20" xfId="0" applyNumberFormat="1" applyBorder="1" applyAlignment="1">
      <alignment horizontal="center"/>
    </xf>
    <xf numFmtId="1" fontId="0" fillId="6" borderId="23" xfId="0" applyNumberFormat="1" applyFill="1" applyBorder="1" applyAlignment="1">
      <alignment horizontal="center"/>
    </xf>
    <xf numFmtId="1" fontId="0" fillId="0" borderId="25" xfId="0" applyNumberFormat="1" applyBorder="1" applyAlignment="1">
      <alignment horizontal="center"/>
    </xf>
    <xf numFmtId="1" fontId="2" fillId="6" borderId="19" xfId="0" applyNumberFormat="1" applyFont="1" applyFill="1" applyBorder="1" applyAlignment="1">
      <alignment horizontal="center"/>
    </xf>
    <xf numFmtId="1" fontId="2" fillId="2" borderId="20" xfId="0" applyNumberFormat="1" applyFont="1" applyFill="1" applyBorder="1" applyAlignment="1">
      <alignment horizontal="center"/>
    </xf>
    <xf numFmtId="1" fontId="0" fillId="5" borderId="24" xfId="0" applyNumberFormat="1" applyFill="1" applyBorder="1" applyAlignment="1">
      <alignment horizontal="center"/>
    </xf>
    <xf numFmtId="167" fontId="0" fillId="0" borderId="22" xfId="4" applyNumberFormat="1" applyFont="1" applyBorder="1" applyAlignment="1">
      <alignment horizontal="center"/>
    </xf>
    <xf numFmtId="167" fontId="0" fillId="0" borderId="20" xfId="4" applyNumberFormat="1" applyFont="1" applyBorder="1" applyAlignment="1">
      <alignment horizontal="center"/>
    </xf>
    <xf numFmtId="167" fontId="0" fillId="0" borderId="25" xfId="4" applyNumberFormat="1" applyFont="1" applyBorder="1" applyAlignment="1">
      <alignment horizontal="center"/>
    </xf>
    <xf numFmtId="44" fontId="0" fillId="0" borderId="22" xfId="1" applyFont="1" applyBorder="1"/>
    <xf numFmtId="44" fontId="0" fillId="0" borderId="20" xfId="1" applyFont="1" applyBorder="1"/>
    <xf numFmtId="44" fontId="0" fillId="0" borderId="25" xfId="1" applyFont="1" applyBorder="1"/>
    <xf numFmtId="44" fontId="0" fillId="0" borderId="0" xfId="1" applyFont="1" applyAlignment="1">
      <alignment horizontal="center"/>
    </xf>
    <xf numFmtId="44" fontId="0" fillId="0" borderId="19" xfId="1" applyFont="1" applyBorder="1" applyAlignment="1">
      <alignment horizontal="center"/>
    </xf>
    <xf numFmtId="44" fontId="0" fillId="3" borderId="11" xfId="1" applyFont="1" applyFill="1" applyBorder="1" applyAlignment="1">
      <alignment horizontal="center"/>
    </xf>
    <xf numFmtId="44" fontId="0" fillId="6" borderId="21" xfId="1" applyFont="1" applyFill="1" applyBorder="1"/>
    <xf numFmtId="44" fontId="0" fillId="6" borderId="19" xfId="1" applyFont="1" applyFill="1" applyBorder="1"/>
    <xf numFmtId="44" fontId="0" fillId="6" borderId="23" xfId="1" applyFont="1" applyFill="1" applyBorder="1"/>
    <xf numFmtId="44" fontId="0" fillId="5" borderId="0" xfId="1" applyFont="1" applyFill="1" applyBorder="1"/>
    <xf numFmtId="44" fontId="0" fillId="5" borderId="7" xfId="1" applyFont="1" applyFill="1" applyBorder="1"/>
    <xf numFmtId="44" fontId="0" fillId="5" borderId="24" xfId="1" applyFont="1" applyFill="1" applyBorder="1"/>
    <xf numFmtId="8" fontId="0" fillId="0" borderId="0" xfId="0" applyNumberFormat="1"/>
    <xf numFmtId="8" fontId="0" fillId="3" borderId="0" xfId="0" applyNumberFormat="1" applyFill="1"/>
    <xf numFmtId="0" fontId="0" fillId="2" borderId="7" xfId="0" applyFill="1" applyBorder="1"/>
    <xf numFmtId="0" fontId="4" fillId="2" borderId="7" xfId="0" applyFont="1" applyFill="1" applyBorder="1" applyAlignment="1">
      <alignment vertical="center"/>
    </xf>
    <xf numFmtId="1" fontId="4" fillId="2" borderId="7" xfId="0" applyNumberFormat="1" applyFont="1" applyFill="1" applyBorder="1" applyAlignment="1">
      <alignment vertical="center"/>
    </xf>
    <xf numFmtId="2" fontId="4" fillId="2" borderId="7" xfId="0" applyNumberFormat="1" applyFont="1" applyFill="1" applyBorder="1" applyAlignment="1">
      <alignment horizontal="center" vertical="center"/>
    </xf>
    <xf numFmtId="0" fontId="4" fillId="2" borderId="7" xfId="0" applyFont="1" applyFill="1" applyBorder="1" applyAlignment="1">
      <alignment horizontal="center" vertical="center"/>
    </xf>
    <xf numFmtId="6" fontId="0" fillId="0" borderId="0" xfId="0" applyNumberFormat="1" applyAlignment="1">
      <alignment horizontal="center"/>
    </xf>
    <xf numFmtId="6" fontId="0" fillId="0" borderId="7" xfId="0" applyNumberFormat="1" applyBorder="1" applyAlignment="1">
      <alignment horizontal="center"/>
    </xf>
    <xf numFmtId="6" fontId="7" fillId="0" borderId="7" xfId="0" applyNumberFormat="1" applyFont="1" applyBorder="1" applyAlignment="1">
      <alignment horizontal="center"/>
    </xf>
    <xf numFmtId="0" fontId="0" fillId="2" borderId="13" xfId="0" applyFill="1" applyBorder="1" applyAlignment="1">
      <alignment vertical="center"/>
    </xf>
    <xf numFmtId="9" fontId="0" fillId="3" borderId="11" xfId="2" applyFont="1" applyFill="1" applyBorder="1" applyAlignment="1">
      <alignment horizontal="center"/>
    </xf>
    <xf numFmtId="44" fontId="8" fillId="0" borderId="2" xfId="1" applyFont="1" applyBorder="1" applyAlignment="1">
      <alignment horizontal="right"/>
    </xf>
    <xf numFmtId="44" fontId="8" fillId="4" borderId="4" xfId="1" applyFont="1" applyFill="1" applyBorder="1" applyAlignment="1">
      <alignment horizontal="right"/>
    </xf>
    <xf numFmtId="44" fontId="8" fillId="0" borderId="9" xfId="1" applyFont="1" applyBorder="1" applyAlignment="1">
      <alignment horizontal="right"/>
    </xf>
    <xf numFmtId="44" fontId="0" fillId="0" borderId="5" xfId="1" applyFont="1" applyBorder="1"/>
    <xf numFmtId="2" fontId="7" fillId="3" borderId="3" xfId="1" applyNumberFormat="1" applyFont="1" applyFill="1" applyBorder="1" applyAlignment="1">
      <alignment horizontal="center"/>
    </xf>
    <xf numFmtId="2" fontId="15" fillId="0" borderId="0" xfId="0" applyNumberFormat="1" applyFont="1" applyAlignment="1">
      <alignment horizontal="center"/>
    </xf>
    <xf numFmtId="2" fontId="7" fillId="0" borderId="0" xfId="1" applyNumberFormat="1" applyFont="1" applyBorder="1" applyAlignment="1">
      <alignment horizontal="center"/>
    </xf>
    <xf numFmtId="2" fontId="7" fillId="0" borderId="0" xfId="0" applyNumberFormat="1" applyFont="1" applyAlignment="1">
      <alignment horizontal="center"/>
    </xf>
    <xf numFmtId="169" fontId="0" fillId="0" borderId="7" xfId="0" applyNumberFormat="1" applyBorder="1"/>
    <xf numFmtId="169" fontId="2" fillId="0" borderId="0" xfId="0" applyNumberFormat="1" applyFont="1" applyAlignment="1">
      <alignment horizontal="center"/>
    </xf>
    <xf numFmtId="169" fontId="0" fillId="0" borderId="3" xfId="0" applyNumberFormat="1" applyBorder="1"/>
    <xf numFmtId="169" fontId="0" fillId="0" borderId="0" xfId="0" applyNumberFormat="1"/>
    <xf numFmtId="44" fontId="0" fillId="0" borderId="7" xfId="1" applyFont="1" applyBorder="1" applyAlignment="1">
      <alignment horizontal="center"/>
    </xf>
    <xf numFmtId="0" fontId="0" fillId="2" borderId="0" xfId="0" applyFill="1" applyAlignment="1">
      <alignment horizontal="center"/>
    </xf>
    <xf numFmtId="0" fontId="8" fillId="2" borderId="0" xfId="0" applyFont="1" applyFill="1" applyAlignment="1">
      <alignment horizontal="left" vertical="center"/>
    </xf>
    <xf numFmtId="0" fontId="2" fillId="6" borderId="7" xfId="0" applyFont="1" applyFill="1" applyBorder="1" applyAlignment="1">
      <alignment horizontal="center"/>
    </xf>
    <xf numFmtId="169" fontId="0" fillId="6" borderId="0" xfId="0" applyNumberFormat="1" applyFill="1"/>
    <xf numFmtId="169" fontId="0" fillId="5" borderId="0" xfId="0" applyNumberFormat="1" applyFill="1"/>
    <xf numFmtId="169" fontId="0" fillId="6" borderId="7" xfId="0" applyNumberFormat="1" applyFill="1" applyBorder="1"/>
    <xf numFmtId="169" fontId="0" fillId="5" borderId="7" xfId="0" applyNumberFormat="1" applyFill="1" applyBorder="1"/>
    <xf numFmtId="169" fontId="0" fillId="2" borderId="0" xfId="1" applyNumberFormat="1" applyFont="1" applyFill="1"/>
    <xf numFmtId="169" fontId="0" fillId="2" borderId="0" xfId="0" applyNumberFormat="1" applyFill="1"/>
    <xf numFmtId="164" fontId="0" fillId="0" borderId="0" xfId="0" applyNumberFormat="1" applyAlignment="1">
      <alignment horizontal="center"/>
    </xf>
    <xf numFmtId="164" fontId="0" fillId="0" borderId="7" xfId="0" applyNumberFormat="1" applyBorder="1" applyAlignment="1">
      <alignment horizontal="center"/>
    </xf>
    <xf numFmtId="9" fontId="0" fillId="0" borderId="7" xfId="2" applyFont="1" applyBorder="1" applyAlignment="1">
      <alignment horizontal="center"/>
    </xf>
    <xf numFmtId="9" fontId="0" fillId="2" borderId="0" xfId="2" applyFont="1" applyFill="1" applyAlignment="1">
      <alignment horizontal="center"/>
    </xf>
    <xf numFmtId="9" fontId="2" fillId="2" borderId="7" xfId="2" applyFont="1" applyFill="1" applyBorder="1" applyAlignment="1">
      <alignment horizontal="center"/>
    </xf>
    <xf numFmtId="9" fontId="0" fillId="0" borderId="0" xfId="2" applyFont="1" applyAlignment="1">
      <alignment horizontal="center"/>
    </xf>
    <xf numFmtId="0" fontId="2" fillId="0" borderId="0" xfId="0" applyFont="1" applyAlignment="1">
      <alignment horizontal="left"/>
    </xf>
    <xf numFmtId="0" fontId="17" fillId="0" borderId="0" xfId="0" applyFont="1"/>
    <xf numFmtId="0" fontId="2" fillId="2" borderId="21" xfId="0" applyFont="1" applyFill="1" applyBorder="1" applyAlignment="1">
      <alignment horizontal="center"/>
    </xf>
    <xf numFmtId="0" fontId="2" fillId="2" borderId="22" xfId="0" applyFont="1" applyFill="1" applyBorder="1" applyAlignment="1">
      <alignment horizontal="center"/>
    </xf>
    <xf numFmtId="9" fontId="0" fillId="3" borderId="27" xfId="2" applyFont="1" applyFill="1" applyBorder="1" applyAlignment="1">
      <alignment horizontal="center"/>
    </xf>
    <xf numFmtId="9" fontId="0" fillId="3" borderId="28" xfId="2" applyFont="1" applyFill="1" applyBorder="1" applyAlignment="1">
      <alignment horizontal="center"/>
    </xf>
    <xf numFmtId="9" fontId="0" fillId="3" borderId="29" xfId="2" applyFont="1" applyFill="1" applyBorder="1" applyAlignment="1">
      <alignment horizontal="center"/>
    </xf>
    <xf numFmtId="9" fontId="0" fillId="3" borderId="30" xfId="2" applyFont="1" applyFill="1" applyBorder="1" applyAlignment="1">
      <alignment horizontal="center"/>
    </xf>
    <xf numFmtId="9" fontId="0" fillId="3" borderId="31" xfId="2" applyFont="1" applyFill="1" applyBorder="1" applyAlignment="1">
      <alignment horizontal="center"/>
    </xf>
    <xf numFmtId="0" fontId="2" fillId="2" borderId="26" xfId="0" applyFont="1" applyFill="1" applyBorder="1"/>
    <xf numFmtId="9" fontId="0" fillId="3" borderId="32" xfId="2" applyFont="1" applyFill="1" applyBorder="1" applyAlignment="1">
      <alignment horizontal="center"/>
    </xf>
    <xf numFmtId="9" fontId="0" fillId="3" borderId="33" xfId="2" applyFont="1" applyFill="1" applyBorder="1" applyAlignment="1">
      <alignment horizontal="center"/>
    </xf>
    <xf numFmtId="9" fontId="0" fillId="3" borderId="34" xfId="2" applyFont="1" applyFill="1" applyBorder="1" applyAlignment="1">
      <alignment horizontal="center"/>
    </xf>
    <xf numFmtId="0" fontId="2" fillId="2" borderId="21" xfId="0" applyFont="1" applyFill="1" applyBorder="1"/>
    <xf numFmtId="0" fontId="2" fillId="2" borderId="23" xfId="0" applyFont="1" applyFill="1" applyBorder="1"/>
    <xf numFmtId="164" fontId="2" fillId="0" borderId="0" xfId="0" applyNumberFormat="1" applyFont="1" applyAlignment="1">
      <alignment horizontal="center"/>
    </xf>
    <xf numFmtId="9" fontId="2" fillId="0" borderId="0" xfId="2" applyFont="1" applyAlignment="1">
      <alignment horizontal="center"/>
    </xf>
    <xf numFmtId="164" fontId="2" fillId="0" borderId="7" xfId="0" applyNumberFormat="1" applyFont="1" applyBorder="1" applyAlignment="1">
      <alignment horizontal="center"/>
    </xf>
    <xf numFmtId="9" fontId="2" fillId="0" borderId="7" xfId="2" applyFont="1" applyBorder="1" applyAlignment="1">
      <alignment horizontal="center"/>
    </xf>
    <xf numFmtId="0" fontId="15" fillId="0" borderId="0" xfId="0" applyFont="1" applyAlignment="1">
      <alignment horizontal="center"/>
    </xf>
    <xf numFmtId="0" fontId="7" fillId="2" borderId="3" xfId="0" applyFont="1" applyFill="1" applyBorder="1"/>
    <xf numFmtId="0" fontId="15" fillId="2" borderId="0" xfId="0" applyFont="1" applyFill="1" applyAlignment="1">
      <alignment horizontal="center"/>
    </xf>
    <xf numFmtId="0" fontId="15" fillId="2" borderId="7" xfId="0" applyFont="1" applyFill="1" applyBorder="1" applyAlignment="1">
      <alignment horizontal="center"/>
    </xf>
    <xf numFmtId="1" fontId="7" fillId="3" borderId="0" xfId="4" applyNumberFormat="1" applyFont="1" applyFill="1" applyBorder="1" applyAlignment="1">
      <alignment horizontal="center"/>
    </xf>
    <xf numFmtId="1" fontId="7" fillId="3" borderId="7" xfId="4" applyNumberFormat="1" applyFont="1" applyFill="1" applyBorder="1" applyAlignment="1">
      <alignment horizontal="center"/>
    </xf>
    <xf numFmtId="1" fontId="7" fillId="3" borderId="3" xfId="4" applyNumberFormat="1" applyFont="1" applyFill="1" applyBorder="1" applyAlignment="1">
      <alignment horizontal="center"/>
    </xf>
    <xf numFmtId="1" fontId="7" fillId="3" borderId="11" xfId="4" applyNumberFormat="1" applyFont="1" applyFill="1" applyBorder="1" applyAlignment="1">
      <alignment horizontal="center"/>
    </xf>
    <xf numFmtId="2" fontId="7" fillId="3" borderId="11" xfId="0" applyNumberFormat="1" applyFont="1" applyFill="1" applyBorder="1" applyAlignment="1">
      <alignment horizontal="center"/>
    </xf>
    <xf numFmtId="0" fontId="7" fillId="0" borderId="0" xfId="0" applyFont="1" applyAlignment="1">
      <alignment horizontal="center"/>
    </xf>
    <xf numFmtId="0" fontId="7" fillId="2" borderId="3" xfId="0" applyFont="1" applyFill="1" applyBorder="1" applyAlignment="1">
      <alignment horizontal="center"/>
    </xf>
    <xf numFmtId="1" fontId="15" fillId="0" borderId="0" xfId="0" applyNumberFormat="1" applyFont="1" applyAlignment="1">
      <alignment horizontal="center"/>
    </xf>
    <xf numFmtId="1" fontId="7" fillId="2" borderId="3" xfId="0" applyNumberFormat="1" applyFont="1" applyFill="1" applyBorder="1"/>
    <xf numFmtId="1" fontId="15" fillId="2" borderId="0" xfId="0" applyNumberFormat="1" applyFont="1" applyFill="1" applyAlignment="1">
      <alignment horizontal="center"/>
    </xf>
    <xf numFmtId="1" fontId="15" fillId="2" borderId="7" xfId="0" applyNumberFormat="1" applyFont="1" applyFill="1" applyBorder="1" applyAlignment="1">
      <alignment horizontal="center"/>
    </xf>
    <xf numFmtId="1" fontId="7" fillId="0" borderId="0" xfId="0" applyNumberFormat="1" applyFont="1"/>
    <xf numFmtId="1" fontId="7" fillId="0" borderId="0" xfId="0" applyNumberFormat="1" applyFont="1" applyAlignment="1">
      <alignment horizontal="center"/>
    </xf>
    <xf numFmtId="1" fontId="7" fillId="2" borderId="3" xfId="0" applyNumberFormat="1" applyFont="1" applyFill="1" applyBorder="1" applyAlignment="1">
      <alignment horizontal="center"/>
    </xf>
    <xf numFmtId="44" fontId="0" fillId="3" borderId="2" xfId="1" applyFont="1" applyFill="1" applyBorder="1" applyAlignment="1"/>
    <xf numFmtId="44" fontId="7" fillId="3" borderId="2" xfId="1" applyFont="1" applyFill="1" applyBorder="1" applyAlignment="1"/>
    <xf numFmtId="44" fontId="7" fillId="0" borderId="0" xfId="1" applyFont="1" applyBorder="1" applyAlignment="1"/>
    <xf numFmtId="44" fontId="7" fillId="0" borderId="0" xfId="1" applyFont="1" applyBorder="1" applyAlignment="1">
      <alignment vertical="center"/>
    </xf>
    <xf numFmtId="1" fontId="7" fillId="3" borderId="14" xfId="4" applyNumberFormat="1" applyFont="1" applyFill="1" applyBorder="1" applyAlignment="1">
      <alignment horizontal="center"/>
    </xf>
    <xf numFmtId="1" fontId="7" fillId="3" borderId="1" xfId="4" applyNumberFormat="1" applyFont="1" applyFill="1" applyBorder="1" applyAlignment="1">
      <alignment horizontal="center"/>
    </xf>
    <xf numFmtId="1" fontId="7" fillId="3" borderId="6" xfId="4" applyNumberFormat="1" applyFont="1" applyFill="1" applyBorder="1" applyAlignment="1">
      <alignment horizontal="center"/>
    </xf>
    <xf numFmtId="2" fontId="7" fillId="3" borderId="6" xfId="0" applyNumberFormat="1" applyFont="1" applyFill="1" applyBorder="1" applyAlignment="1">
      <alignment horizontal="center"/>
    </xf>
    <xf numFmtId="1" fontId="7" fillId="0" borderId="11" xfId="4" applyNumberFormat="1" applyFont="1" applyFill="1" applyBorder="1" applyAlignment="1">
      <alignment horizontal="center"/>
    </xf>
    <xf numFmtId="2" fontId="7" fillId="0" borderId="11" xfId="0" applyNumberFormat="1" applyFont="1" applyBorder="1" applyAlignment="1">
      <alignment horizontal="center"/>
    </xf>
    <xf numFmtId="1" fontId="7" fillId="0" borderId="12" xfId="4" applyNumberFormat="1" applyFont="1" applyFill="1" applyBorder="1" applyAlignment="1">
      <alignment horizontal="center"/>
    </xf>
    <xf numFmtId="1" fontId="7" fillId="0" borderId="9" xfId="4" applyNumberFormat="1" applyFont="1" applyFill="1" applyBorder="1" applyAlignment="1">
      <alignment horizontal="center"/>
    </xf>
    <xf numFmtId="1" fontId="7" fillId="0" borderId="10" xfId="4" applyNumberFormat="1" applyFont="1" applyFill="1" applyBorder="1" applyAlignment="1">
      <alignment horizontal="center"/>
    </xf>
    <xf numFmtId="1" fontId="7" fillId="0" borderId="10" xfId="0" applyNumberFormat="1" applyFont="1" applyBorder="1" applyAlignment="1">
      <alignment horizontal="center"/>
    </xf>
    <xf numFmtId="10" fontId="2" fillId="2" borderId="7" xfId="2" applyNumberFormat="1" applyFont="1" applyFill="1" applyBorder="1" applyAlignment="1">
      <alignment horizontal="right"/>
    </xf>
    <xf numFmtId="0" fontId="2" fillId="2" borderId="13" xfId="0" quotePrefix="1" applyFont="1" applyFill="1" applyBorder="1" applyAlignment="1">
      <alignment horizontal="right"/>
    </xf>
    <xf numFmtId="0" fontId="2" fillId="2" borderId="3" xfId="0" quotePrefix="1" applyFont="1" applyFill="1" applyBorder="1" applyAlignment="1">
      <alignment horizontal="right"/>
    </xf>
    <xf numFmtId="0" fontId="2" fillId="2" borderId="4" xfId="0" quotePrefix="1" applyFont="1" applyFill="1" applyBorder="1" applyAlignment="1">
      <alignment horizontal="right"/>
    </xf>
    <xf numFmtId="10" fontId="2" fillId="2" borderId="8" xfId="2" applyNumberFormat="1" applyFont="1" applyFill="1" applyBorder="1" applyAlignment="1">
      <alignment horizontal="center"/>
    </xf>
    <xf numFmtId="44" fontId="0" fillId="0" borderId="5" xfId="1" applyFont="1" applyFill="1" applyBorder="1" applyAlignment="1">
      <alignment horizontal="right"/>
    </xf>
    <xf numFmtId="44" fontId="0" fillId="0" borderId="7" xfId="1" applyFont="1" applyFill="1" applyBorder="1" applyAlignment="1">
      <alignment horizontal="right"/>
    </xf>
    <xf numFmtId="44" fontId="0" fillId="0" borderId="8" xfId="1" applyFont="1" applyFill="1" applyBorder="1" applyAlignment="1">
      <alignment horizontal="right"/>
    </xf>
    <xf numFmtId="10" fontId="2" fillId="2" borderId="7" xfId="2" applyNumberFormat="1" applyFont="1" applyFill="1" applyBorder="1" applyAlignment="1">
      <alignment horizontal="center"/>
    </xf>
    <xf numFmtId="1" fontId="7" fillId="0" borderId="14" xfId="4" applyNumberFormat="1" applyFont="1" applyFill="1" applyBorder="1" applyAlignment="1">
      <alignment horizontal="center"/>
    </xf>
    <xf numFmtId="1" fontId="7" fillId="0" borderId="1" xfId="4" applyNumberFormat="1" applyFont="1" applyFill="1" applyBorder="1" applyAlignment="1">
      <alignment horizontal="center"/>
    </xf>
    <xf numFmtId="1" fontId="7" fillId="0" borderId="6" xfId="4" applyNumberFormat="1" applyFont="1" applyFill="1" applyBorder="1" applyAlignment="1">
      <alignment horizontal="center"/>
    </xf>
    <xf numFmtId="0" fontId="2" fillId="2" borderId="6" xfId="0" applyFont="1" applyFill="1" applyBorder="1" applyAlignment="1">
      <alignment horizontal="center"/>
    </xf>
    <xf numFmtId="44" fontId="0" fillId="0" borderId="4" xfId="1" applyFont="1" applyFill="1" applyBorder="1"/>
    <xf numFmtId="2" fontId="7" fillId="0" borderId="6" xfId="0" applyNumberFormat="1" applyFont="1" applyBorder="1" applyAlignment="1">
      <alignment horizontal="center"/>
    </xf>
    <xf numFmtId="44" fontId="0" fillId="0" borderId="5" xfId="1" applyFont="1" applyBorder="1" applyAlignment="1">
      <alignment horizontal="right"/>
    </xf>
    <xf numFmtId="44" fontId="0" fillId="0" borderId="4" xfId="1" applyFont="1" applyBorder="1" applyAlignment="1">
      <alignment horizontal="right"/>
    </xf>
    <xf numFmtId="44" fontId="0" fillId="0" borderId="3" xfId="1" applyFont="1" applyFill="1" applyBorder="1" applyAlignment="1">
      <alignment horizontal="right"/>
    </xf>
    <xf numFmtId="44" fontId="7" fillId="3" borderId="2" xfId="1" applyFont="1" applyFill="1" applyBorder="1" applyAlignment="1">
      <alignment horizontal="right"/>
    </xf>
    <xf numFmtId="44" fontId="0" fillId="0" borderId="4" xfId="1" applyFont="1" applyFill="1" applyBorder="1" applyAlignment="1">
      <alignment horizontal="right"/>
    </xf>
    <xf numFmtId="10" fontId="2" fillId="3" borderId="3" xfId="2" applyNumberFormat="1" applyFont="1" applyFill="1" applyBorder="1" applyAlignment="1">
      <alignment horizontal="right"/>
    </xf>
    <xf numFmtId="10" fontId="2" fillId="2" borderId="4" xfId="2" applyNumberFormat="1" applyFont="1" applyFill="1" applyBorder="1" applyAlignment="1">
      <alignment horizontal="center"/>
    </xf>
    <xf numFmtId="168" fontId="7" fillId="3" borderId="2" xfId="1" applyNumberFormat="1" applyFont="1" applyFill="1" applyBorder="1" applyAlignment="1">
      <alignment horizontal="center" vertical="center"/>
    </xf>
    <xf numFmtId="44" fontId="7" fillId="3" borderId="3" xfId="1" applyFont="1" applyFill="1" applyBorder="1" applyAlignment="1">
      <alignment horizontal="right" vertical="center"/>
    </xf>
    <xf numFmtId="1" fontId="7" fillId="0" borderId="2" xfId="4" applyNumberFormat="1" applyFont="1" applyFill="1" applyBorder="1" applyAlignment="1">
      <alignment horizontal="center"/>
    </xf>
    <xf numFmtId="2" fontId="7" fillId="0" borderId="2" xfId="0" applyNumberFormat="1" applyFont="1" applyBorder="1" applyAlignment="1">
      <alignment horizontal="center"/>
    </xf>
    <xf numFmtId="10" fontId="2" fillId="2" borderId="15" xfId="2" applyNumberFormat="1" applyFont="1" applyFill="1" applyBorder="1" applyAlignment="1">
      <alignment horizontal="center"/>
    </xf>
    <xf numFmtId="44" fontId="18" fillId="3" borderId="13" xfId="1" applyFont="1" applyFill="1" applyBorder="1" applyAlignment="1">
      <alignment horizontal="right"/>
    </xf>
    <xf numFmtId="44" fontId="0" fillId="0" borderId="13" xfId="1" applyFont="1" applyFill="1" applyBorder="1"/>
    <xf numFmtId="44" fontId="0" fillId="0" borderId="15" xfId="1" applyFont="1" applyFill="1" applyBorder="1"/>
    <xf numFmtId="44" fontId="0" fillId="0" borderId="15" xfId="1" applyFont="1" applyFill="1" applyBorder="1" applyAlignment="1">
      <alignment horizontal="right"/>
    </xf>
    <xf numFmtId="44" fontId="0" fillId="3" borderId="3" xfId="1" applyFont="1" applyFill="1" applyBorder="1" applyAlignment="1">
      <alignment horizontal="right"/>
    </xf>
    <xf numFmtId="44" fontId="7" fillId="3" borderId="0" xfId="1" applyFont="1" applyFill="1" applyBorder="1" applyAlignment="1">
      <alignment horizontal="center"/>
    </xf>
    <xf numFmtId="44" fontId="7" fillId="3" borderId="7" xfId="1" applyFont="1" applyFill="1" applyBorder="1" applyAlignment="1">
      <alignment horizontal="center"/>
    </xf>
    <xf numFmtId="168" fontId="7" fillId="3" borderId="1" xfId="1" applyNumberFormat="1" applyFont="1" applyFill="1" applyBorder="1" applyAlignment="1">
      <alignment horizontal="center"/>
    </xf>
    <xf numFmtId="168" fontId="7" fillId="3" borderId="2" xfId="1" applyNumberFormat="1" applyFont="1" applyFill="1" applyBorder="1" applyAlignment="1">
      <alignment horizontal="center"/>
    </xf>
    <xf numFmtId="44" fontId="0" fillId="3" borderId="3" xfId="1" applyFont="1" applyFill="1" applyBorder="1"/>
    <xf numFmtId="6" fontId="7" fillId="0" borderId="0" xfId="0" applyNumberFormat="1" applyFont="1" applyAlignment="1">
      <alignment horizontal="center"/>
    </xf>
    <xf numFmtId="6" fontId="0" fillId="0" borderId="0" xfId="0" applyNumberFormat="1"/>
    <xf numFmtId="6" fontId="0" fillId="0" borderId="7" xfId="0" applyNumberFormat="1" applyBorder="1"/>
    <xf numFmtId="9" fontId="0" fillId="0" borderId="0" xfId="2" applyFont="1"/>
    <xf numFmtId="170" fontId="0" fillId="0" borderId="0" xfId="2" applyNumberFormat="1" applyFont="1"/>
    <xf numFmtId="44" fontId="7" fillId="3" borderId="7" xfId="1" applyFont="1" applyFill="1" applyBorder="1" applyAlignment="1">
      <alignment horizontal="right"/>
    </xf>
    <xf numFmtId="170" fontId="0" fillId="3" borderId="11" xfId="0" applyNumberFormat="1" applyFill="1" applyBorder="1" applyAlignment="1">
      <alignment horizontal="center"/>
    </xf>
    <xf numFmtId="10" fontId="0" fillId="3" borderId="11" xfId="0" applyNumberFormat="1" applyFill="1" applyBorder="1" applyAlignment="1">
      <alignment horizontal="center"/>
    </xf>
    <xf numFmtId="0" fontId="3" fillId="0" borderId="0" xfId="3"/>
    <xf numFmtId="0" fontId="4" fillId="2" borderId="7" xfId="0" applyFont="1" applyFill="1" applyBorder="1"/>
    <xf numFmtId="0" fontId="19" fillId="2" borderId="7" xfId="0" applyFont="1" applyFill="1" applyBorder="1" applyAlignment="1">
      <alignment vertical="center"/>
    </xf>
    <xf numFmtId="1" fontId="19" fillId="2" borderId="7" xfId="0" applyNumberFormat="1" applyFont="1" applyFill="1" applyBorder="1" applyAlignment="1">
      <alignment vertical="center"/>
    </xf>
    <xf numFmtId="2" fontId="19" fillId="2" borderId="7" xfId="0" applyNumberFormat="1" applyFont="1" applyFill="1" applyBorder="1" applyAlignment="1">
      <alignment horizontal="center" vertical="center"/>
    </xf>
    <xf numFmtId="168" fontId="7" fillId="3" borderId="6" xfId="1" applyNumberFormat="1" applyFont="1" applyFill="1" applyBorder="1" applyAlignment="1">
      <alignment horizontal="center"/>
    </xf>
    <xf numFmtId="168" fontId="7" fillId="0" borderId="0" xfId="1" applyNumberFormat="1" applyFont="1" applyBorder="1" applyAlignment="1">
      <alignment horizontal="right" vertical="center"/>
    </xf>
    <xf numFmtId="168" fontId="19" fillId="2" borderId="7" xfId="0" applyNumberFormat="1" applyFont="1" applyFill="1" applyBorder="1" applyAlignment="1">
      <alignment vertical="center"/>
    </xf>
    <xf numFmtId="168" fontId="15" fillId="0" borderId="0" xfId="0" applyNumberFormat="1" applyFont="1" applyAlignment="1">
      <alignment horizontal="center"/>
    </xf>
    <xf numFmtId="168" fontId="7" fillId="2" borderId="13" xfId="0" applyNumberFormat="1" applyFont="1" applyFill="1" applyBorder="1"/>
    <xf numFmtId="168" fontId="15" fillId="2" borderId="6" xfId="0" applyNumberFormat="1" applyFont="1" applyFill="1" applyBorder="1" applyAlignment="1">
      <alignment horizontal="center"/>
    </xf>
    <xf numFmtId="168" fontId="7" fillId="0" borderId="0" xfId="0" applyNumberFormat="1" applyFont="1"/>
    <xf numFmtId="168" fontId="19" fillId="2" borderId="7" xfId="0" applyNumberFormat="1" applyFont="1" applyFill="1" applyBorder="1" applyAlignment="1">
      <alignment horizontal="center" vertical="center"/>
    </xf>
    <xf numFmtId="168" fontId="7" fillId="2" borderId="13" xfId="0" applyNumberFormat="1" applyFont="1" applyFill="1" applyBorder="1" applyAlignment="1">
      <alignment horizontal="center"/>
    </xf>
    <xf numFmtId="168" fontId="15" fillId="2" borderId="7" xfId="0" applyNumberFormat="1" applyFont="1" applyFill="1" applyBorder="1" applyAlignment="1">
      <alignment horizontal="center"/>
    </xf>
    <xf numFmtId="168" fontId="7" fillId="3" borderId="0" xfId="1" applyNumberFormat="1" applyFont="1" applyFill="1" applyBorder="1" applyAlignment="1">
      <alignment horizontal="center"/>
    </xf>
    <xf numFmtId="168" fontId="7" fillId="3" borderId="7" xfId="1" applyNumberFormat="1" applyFont="1" applyFill="1" applyBorder="1" applyAlignment="1">
      <alignment horizontal="center"/>
    </xf>
    <xf numFmtId="168" fontId="7" fillId="0" borderId="0" xfId="1" applyNumberFormat="1" applyFont="1" applyBorder="1" applyAlignment="1">
      <alignment horizontal="center"/>
    </xf>
    <xf numFmtId="168" fontId="20" fillId="0" borderId="0" xfId="1" applyNumberFormat="1" applyFont="1" applyBorder="1" applyAlignment="1">
      <alignment horizontal="center"/>
    </xf>
    <xf numFmtId="168" fontId="7" fillId="0" borderId="0" xfId="0" applyNumberFormat="1" applyFont="1" applyAlignment="1">
      <alignment horizontal="center"/>
    </xf>
    <xf numFmtId="168" fontId="7" fillId="3" borderId="14" xfId="1" applyNumberFormat="1" applyFont="1" applyFill="1" applyBorder="1" applyAlignment="1">
      <alignment horizontal="center"/>
    </xf>
    <xf numFmtId="44" fontId="7" fillId="3" borderId="3" xfId="1" applyFont="1" applyFill="1" applyBorder="1" applyAlignment="1">
      <alignment horizontal="right"/>
    </xf>
    <xf numFmtId="44" fontId="7" fillId="0" borderId="0" xfId="1" applyFont="1" applyBorder="1" applyAlignment="1">
      <alignment horizontal="right"/>
    </xf>
    <xf numFmtId="44" fontId="20" fillId="0" borderId="0" xfId="1" applyFont="1" applyBorder="1" applyAlignment="1">
      <alignment horizontal="right"/>
    </xf>
    <xf numFmtId="168" fontId="7" fillId="3" borderId="6" xfId="1" applyNumberFormat="1" applyFont="1" applyFill="1" applyBorder="1" applyAlignment="1">
      <alignment horizontal="center" vertical="center"/>
    </xf>
    <xf numFmtId="44" fontId="7" fillId="3" borderId="7" xfId="1" applyFont="1" applyFill="1" applyBorder="1" applyAlignment="1">
      <alignment horizontal="right" vertical="center"/>
    </xf>
    <xf numFmtId="44" fontId="0" fillId="3" borderId="7" xfId="1" applyFont="1" applyFill="1" applyBorder="1" applyAlignment="1">
      <alignment horizontal="right"/>
    </xf>
    <xf numFmtId="44" fontId="7" fillId="3" borderId="13" xfId="1" applyFont="1" applyFill="1" applyBorder="1" applyAlignment="1">
      <alignment horizontal="right"/>
    </xf>
    <xf numFmtId="44" fontId="0" fillId="0" borderId="13" xfId="1" applyFont="1" applyFill="1" applyBorder="1" applyAlignment="1">
      <alignment horizontal="right"/>
    </xf>
    <xf numFmtId="0" fontId="2" fillId="2" borderId="7" xfId="0" quotePrefix="1" applyFont="1" applyFill="1" applyBorder="1" applyAlignment="1">
      <alignment horizontal="right"/>
    </xf>
    <xf numFmtId="44" fontId="0" fillId="3" borderId="7" xfId="1" applyFont="1" applyFill="1" applyBorder="1"/>
    <xf numFmtId="44" fontId="0" fillId="0" borderId="7" xfId="1" applyFont="1" applyFill="1" applyBorder="1"/>
    <xf numFmtId="44" fontId="0" fillId="0" borderId="8" xfId="1" applyFont="1" applyFill="1" applyBorder="1"/>
    <xf numFmtId="44" fontId="18" fillId="3" borderId="3" xfId="1" applyFont="1" applyFill="1" applyBorder="1" applyAlignment="1">
      <alignment horizontal="right"/>
    </xf>
    <xf numFmtId="44" fontId="0" fillId="0" borderId="2" xfId="1" applyFont="1" applyFill="1" applyBorder="1" applyAlignment="1">
      <alignment horizontal="right"/>
    </xf>
    <xf numFmtId="44" fontId="0" fillId="0" borderId="5" xfId="0" applyNumberFormat="1" applyBorder="1" applyAlignment="1">
      <alignment horizontal="right"/>
    </xf>
    <xf numFmtId="44" fontId="0" fillId="0" borderId="4" xfId="0" applyNumberFormat="1" applyBorder="1" applyAlignment="1">
      <alignment horizontal="right"/>
    </xf>
    <xf numFmtId="10" fontId="2" fillId="3" borderId="0" xfId="2" applyNumberFormat="1" applyFont="1" applyFill="1" applyBorder="1" applyAlignment="1">
      <alignment horizontal="right"/>
    </xf>
    <xf numFmtId="0" fontId="0" fillId="2" borderId="14" xfId="0" applyFill="1" applyBorder="1"/>
    <xf numFmtId="0" fontId="2" fillId="2" borderId="15" xfId="0" applyFont="1" applyFill="1" applyBorder="1" applyAlignment="1">
      <alignment horizontal="right"/>
    </xf>
    <xf numFmtId="0" fontId="2" fillId="2" borderId="1" xfId="0" applyFont="1" applyFill="1" applyBorder="1" applyAlignment="1">
      <alignment horizontal="center"/>
    </xf>
    <xf numFmtId="44" fontId="7" fillId="3" borderId="1" xfId="1" applyFont="1" applyFill="1" applyBorder="1" applyAlignment="1">
      <alignment horizontal="right"/>
    </xf>
    <xf numFmtId="0" fontId="0" fillId="0" borderId="1" xfId="0" applyBorder="1" applyAlignment="1">
      <alignment horizontal="center"/>
    </xf>
    <xf numFmtId="0" fontId="0" fillId="0" borderId="6" xfId="0" applyBorder="1"/>
    <xf numFmtId="0" fontId="2" fillId="2" borderId="14" xfId="0" applyFont="1" applyFill="1" applyBorder="1"/>
    <xf numFmtId="44" fontId="0" fillId="3" borderId="1" xfId="1" applyFont="1" applyFill="1" applyBorder="1" applyAlignment="1"/>
    <xf numFmtId="44" fontId="0" fillId="3" borderId="6" xfId="1" applyFont="1" applyFill="1" applyBorder="1" applyAlignment="1"/>
    <xf numFmtId="44" fontId="7" fillId="3" borderId="6" xfId="1" applyFont="1" applyFill="1" applyBorder="1" applyAlignment="1">
      <alignment vertical="center"/>
    </xf>
    <xf numFmtId="0" fontId="2" fillId="2" borderId="12" xfId="0" applyFont="1" applyFill="1" applyBorder="1" applyAlignment="1">
      <alignment horizontal="right"/>
    </xf>
    <xf numFmtId="0" fontId="2" fillId="2" borderId="10" xfId="0" applyFont="1" applyFill="1" applyBorder="1" applyAlignment="1">
      <alignment horizontal="right"/>
    </xf>
    <xf numFmtId="44" fontId="0" fillId="0" borderId="15" xfId="0" applyNumberFormat="1" applyBorder="1" applyAlignment="1">
      <alignment horizontal="right"/>
    </xf>
    <xf numFmtId="9" fontId="2" fillId="3" borderId="0" xfId="2" applyFont="1" applyFill="1" applyBorder="1" applyAlignment="1">
      <alignment horizontal="right"/>
    </xf>
    <xf numFmtId="44" fontId="7" fillId="3" borderId="6" xfId="1" applyFont="1" applyFill="1" applyBorder="1" applyAlignment="1"/>
    <xf numFmtId="44" fontId="7" fillId="3" borderId="5" xfId="1" applyFont="1" applyFill="1" applyBorder="1" applyAlignment="1">
      <alignment horizontal="right"/>
    </xf>
    <xf numFmtId="44" fontId="7" fillId="3" borderId="5" xfId="1" applyFont="1" applyFill="1" applyBorder="1"/>
    <xf numFmtId="44" fontId="7" fillId="3" borderId="7" xfId="1" applyFont="1" applyFill="1" applyBorder="1" applyAlignment="1"/>
    <xf numFmtId="44" fontId="0" fillId="0" borderId="7" xfId="1" applyFont="1" applyBorder="1"/>
    <xf numFmtId="44" fontId="0" fillId="3" borderId="14" xfId="1" applyFont="1" applyFill="1" applyBorder="1" applyAlignment="1"/>
    <xf numFmtId="44" fontId="0" fillId="0" borderId="8" xfId="1" applyFont="1" applyBorder="1"/>
    <xf numFmtId="0" fontId="2" fillId="2" borderId="4" xfId="0" applyFont="1" applyFill="1" applyBorder="1" applyAlignment="1">
      <alignment horizontal="center"/>
    </xf>
    <xf numFmtId="1" fontId="4" fillId="2" borderId="7" xfId="0" applyNumberFormat="1" applyFont="1" applyFill="1" applyBorder="1" applyAlignment="1">
      <alignment horizontal="center" vertical="center"/>
    </xf>
    <xf numFmtId="1" fontId="2" fillId="0" borderId="0" xfId="0" applyNumberFormat="1" applyFont="1" applyAlignment="1">
      <alignment horizontal="center"/>
    </xf>
    <xf numFmtId="1" fontId="0" fillId="2" borderId="3" xfId="0" applyNumberFormat="1" applyFill="1" applyBorder="1"/>
    <xf numFmtId="1" fontId="0" fillId="2" borderId="3" xfId="0" applyNumberFormat="1" applyFill="1" applyBorder="1" applyAlignment="1">
      <alignment horizontal="center"/>
    </xf>
    <xf numFmtId="1" fontId="2" fillId="2" borderId="6" xfId="0" applyNumberFormat="1" applyFont="1" applyFill="1" applyBorder="1" applyAlignment="1">
      <alignment horizontal="center"/>
    </xf>
    <xf numFmtId="1" fontId="2" fillId="2" borderId="8" xfId="0" applyNumberFormat="1" applyFont="1" applyFill="1" applyBorder="1" applyAlignment="1">
      <alignment horizontal="center"/>
    </xf>
    <xf numFmtId="1" fontId="0" fillId="0" borderId="15" xfId="0" applyNumberFormat="1" applyBorder="1" applyAlignment="1">
      <alignment horizontal="center"/>
    </xf>
    <xf numFmtId="1" fontId="0" fillId="0" borderId="5" xfId="0" applyNumberFormat="1" applyBorder="1" applyAlignment="1">
      <alignment horizontal="center"/>
    </xf>
    <xf numFmtId="1" fontId="0" fillId="0" borderId="8" xfId="0" applyNumberFormat="1" applyBorder="1" applyAlignment="1">
      <alignment horizontal="center"/>
    </xf>
    <xf numFmtId="1" fontId="0" fillId="0" borderId="2" xfId="0" applyNumberFormat="1" applyBorder="1"/>
    <xf numFmtId="1" fontId="0" fillId="0" borderId="4" xfId="0" applyNumberFormat="1" applyBorder="1" applyAlignment="1">
      <alignment horizontal="center"/>
    </xf>
    <xf numFmtId="1" fontId="0" fillId="0" borderId="0" xfId="0" applyNumberFormat="1" applyAlignment="1">
      <alignment horizontal="center"/>
    </xf>
    <xf numFmtId="1" fontId="8" fillId="0" borderId="11" xfId="0" applyNumberFormat="1" applyFont="1" applyBorder="1" applyAlignment="1">
      <alignment horizontal="right"/>
    </xf>
    <xf numFmtId="1" fontId="8" fillId="0" borderId="11" xfId="1" applyNumberFormat="1" applyFont="1" applyBorder="1" applyAlignment="1">
      <alignment horizontal="center"/>
    </xf>
    <xf numFmtId="1" fontId="0" fillId="3" borderId="2" xfId="0" applyNumberFormat="1" applyFill="1" applyBorder="1"/>
    <xf numFmtId="10" fontId="2" fillId="2" borderId="8" xfId="2" applyNumberFormat="1" applyFont="1" applyFill="1" applyBorder="1" applyAlignment="1">
      <alignment horizontal="right"/>
    </xf>
    <xf numFmtId="10" fontId="2" fillId="2" borderId="3" xfId="2" applyNumberFormat="1" applyFont="1" applyFill="1" applyBorder="1" applyAlignment="1">
      <alignment horizontal="right"/>
    </xf>
    <xf numFmtId="10" fontId="2" fillId="2" borderId="0" xfId="2" applyNumberFormat="1" applyFont="1" applyFill="1" applyBorder="1" applyAlignment="1">
      <alignment horizontal="right"/>
    </xf>
    <xf numFmtId="0" fontId="2" fillId="2" borderId="15" xfId="0" quotePrefix="1" applyFont="1" applyFill="1" applyBorder="1" applyAlignment="1">
      <alignment horizontal="right"/>
    </xf>
    <xf numFmtId="0" fontId="0" fillId="2" borderId="4" xfId="0" applyFill="1" applyBorder="1" applyAlignment="1">
      <alignment horizontal="center"/>
    </xf>
    <xf numFmtId="44" fontId="0" fillId="0" borderId="5" xfId="1" applyFont="1" applyBorder="1" applyAlignment="1">
      <alignment horizontal="center"/>
    </xf>
    <xf numFmtId="44" fontId="0" fillId="0" borderId="8" xfId="1" applyFont="1" applyBorder="1" applyAlignment="1">
      <alignment horizontal="center"/>
    </xf>
    <xf numFmtId="44" fontId="0" fillId="0" borderId="0" xfId="1" applyFont="1" applyBorder="1" applyAlignment="1">
      <alignment horizontal="center"/>
    </xf>
    <xf numFmtId="44" fontId="8" fillId="0" borderId="0" xfId="1" applyFont="1" applyBorder="1" applyAlignment="1">
      <alignment horizontal="center"/>
    </xf>
    <xf numFmtId="44" fontId="8" fillId="4" borderId="11" xfId="1" applyFont="1" applyFill="1" applyBorder="1" applyAlignment="1">
      <alignment horizontal="center"/>
    </xf>
    <xf numFmtId="10" fontId="2" fillId="2" borderId="0" xfId="2" applyNumberFormat="1" applyFont="1" applyFill="1" applyBorder="1" applyAlignment="1">
      <alignment horizontal="center"/>
    </xf>
    <xf numFmtId="0" fontId="0" fillId="2" borderId="15" xfId="0" applyFill="1" applyBorder="1" applyAlignment="1">
      <alignment horizontal="center"/>
    </xf>
    <xf numFmtId="10" fontId="2" fillId="3" borderId="13" xfId="2" applyNumberFormat="1" applyFont="1" applyFill="1" applyBorder="1" applyAlignment="1">
      <alignment horizontal="right"/>
    </xf>
    <xf numFmtId="10" fontId="2" fillId="2" borderId="13" xfId="2" applyNumberFormat="1" applyFont="1" applyFill="1" applyBorder="1" applyAlignment="1">
      <alignment horizontal="right"/>
    </xf>
    <xf numFmtId="0" fontId="2" fillId="2" borderId="5" xfId="0" applyFont="1" applyFill="1" applyBorder="1" applyAlignment="1">
      <alignment horizontal="center"/>
    </xf>
    <xf numFmtId="44" fontId="0" fillId="0" borderId="14" xfId="1" applyFont="1" applyFill="1" applyBorder="1" applyAlignment="1">
      <alignment horizontal="center"/>
    </xf>
    <xf numFmtId="44" fontId="0" fillId="0" borderId="15" xfId="1" applyFont="1" applyBorder="1" applyAlignment="1">
      <alignment horizontal="center"/>
    </xf>
    <xf numFmtId="44" fontId="0" fillId="0" borderId="1" xfId="1" applyFont="1" applyFill="1" applyBorder="1" applyAlignment="1">
      <alignment horizontal="center"/>
    </xf>
    <xf numFmtId="44" fontId="0" fillId="0" borderId="6" xfId="1" applyFont="1" applyFill="1" applyBorder="1" applyAlignment="1">
      <alignment horizontal="center"/>
    </xf>
    <xf numFmtId="2" fontId="7" fillId="3" borderId="7" xfId="1" applyNumberFormat="1" applyFont="1" applyFill="1" applyBorder="1" applyAlignment="1">
      <alignment horizontal="center"/>
    </xf>
    <xf numFmtId="44" fontId="7" fillId="3" borderId="3" xfId="1" applyFont="1" applyFill="1" applyBorder="1" applyAlignment="1">
      <alignment horizontal="center"/>
    </xf>
    <xf numFmtId="44" fontId="0" fillId="0" borderId="14" xfId="1" applyFont="1" applyFill="1" applyBorder="1" applyAlignment="1">
      <alignment horizontal="right"/>
    </xf>
    <xf numFmtId="168" fontId="4" fillId="2" borderId="7" xfId="0" applyNumberFormat="1" applyFont="1" applyFill="1" applyBorder="1" applyAlignment="1">
      <alignment vertical="center"/>
    </xf>
    <xf numFmtId="168" fontId="2" fillId="0" borderId="0" xfId="0" applyNumberFormat="1" applyFont="1" applyAlignment="1">
      <alignment horizontal="center"/>
    </xf>
    <xf numFmtId="168" fontId="0" fillId="2" borderId="13" xfId="0" applyNumberFormat="1" applyFill="1" applyBorder="1"/>
    <xf numFmtId="168" fontId="7" fillId="3" borderId="2" xfId="1" applyNumberFormat="1" applyFont="1" applyFill="1" applyBorder="1" applyAlignment="1">
      <alignment horizontal="right"/>
    </xf>
    <xf numFmtId="168" fontId="0" fillId="0" borderId="0" xfId="1" applyNumberFormat="1" applyFont="1" applyBorder="1" applyAlignment="1">
      <alignment horizontal="right"/>
    </xf>
    <xf numFmtId="168" fontId="8" fillId="0" borderId="0" xfId="1" applyNumberFormat="1" applyFont="1" applyBorder="1" applyAlignment="1">
      <alignment horizontal="right"/>
    </xf>
    <xf numFmtId="168" fontId="0" fillId="0" borderId="0" xfId="0" applyNumberFormat="1"/>
    <xf numFmtId="168" fontId="7" fillId="3" borderId="6" xfId="1" applyNumberFormat="1" applyFont="1" applyFill="1" applyBorder="1" applyAlignment="1">
      <alignment horizontal="right"/>
    </xf>
    <xf numFmtId="168" fontId="0" fillId="0" borderId="0" xfId="1" applyNumberFormat="1" applyFont="1" applyBorder="1"/>
    <xf numFmtId="44" fontId="7" fillId="3" borderId="6" xfId="1" applyFont="1" applyFill="1" applyBorder="1"/>
    <xf numFmtId="44" fontId="0" fillId="0" borderId="15" xfId="1" applyFont="1" applyBorder="1" applyAlignment="1">
      <alignment horizontal="right"/>
    </xf>
    <xf numFmtId="10" fontId="2" fillId="2" borderId="2" xfId="2" applyNumberFormat="1" applyFont="1" applyFill="1" applyBorder="1" applyAlignment="1">
      <alignment horizontal="center"/>
    </xf>
    <xf numFmtId="10" fontId="2" fillId="2" borderId="14" xfId="2" applyNumberFormat="1" applyFont="1" applyFill="1" applyBorder="1" applyAlignment="1">
      <alignment horizontal="center"/>
    </xf>
    <xf numFmtId="0" fontId="2" fillId="2" borderId="15" xfId="0" applyFont="1" applyFill="1" applyBorder="1" applyAlignment="1">
      <alignment horizontal="center"/>
    </xf>
    <xf numFmtId="44" fontId="0" fillId="0" borderId="2" xfId="1" applyFont="1" applyFill="1" applyBorder="1" applyAlignment="1">
      <alignment horizontal="center"/>
    </xf>
    <xf numFmtId="44" fontId="0" fillId="0" borderId="4" xfId="1" applyFont="1" applyBorder="1" applyAlignment="1">
      <alignment horizontal="center"/>
    </xf>
    <xf numFmtId="0" fontId="2" fillId="0" borderId="0" xfId="0" quotePrefix="1" applyFont="1" applyAlignment="1">
      <alignment horizontal="right"/>
    </xf>
    <xf numFmtId="9" fontId="2" fillId="0" borderId="0" xfId="2" applyFont="1" applyFill="1" applyBorder="1" applyAlignment="1">
      <alignment horizontal="right"/>
    </xf>
    <xf numFmtId="10" fontId="2" fillId="0" borderId="0" xfId="2" applyNumberFormat="1" applyFont="1" applyFill="1" applyBorder="1" applyAlignment="1">
      <alignment horizontal="right"/>
    </xf>
    <xf numFmtId="44" fontId="0" fillId="0" borderId="0" xfId="1" applyFont="1" applyFill="1" applyBorder="1" applyAlignment="1"/>
    <xf numFmtId="44" fontId="7" fillId="0" borderId="0" xfId="1" applyFont="1" applyFill="1" applyBorder="1" applyAlignment="1">
      <alignment horizontal="right"/>
    </xf>
    <xf numFmtId="44" fontId="0" fillId="0" borderId="0" xfId="0" applyNumberFormat="1" applyAlignment="1">
      <alignment horizontal="right"/>
    </xf>
    <xf numFmtId="44" fontId="7" fillId="0" borderId="0" xfId="1" applyFont="1" applyFill="1" applyBorder="1" applyAlignment="1">
      <alignment vertical="center"/>
    </xf>
    <xf numFmtId="44" fontId="2" fillId="0" borderId="0" xfId="1" applyFont="1" applyFill="1" applyBorder="1" applyAlignment="1">
      <alignment horizontal="right"/>
    </xf>
    <xf numFmtId="0" fontId="8" fillId="0" borderId="0" xfId="0" applyFont="1" applyAlignment="1">
      <alignment horizontal="right"/>
    </xf>
    <xf numFmtId="44" fontId="8" fillId="0" borderId="0" xfId="1" applyFont="1" applyFill="1" applyBorder="1" applyAlignment="1">
      <alignment horizontal="right"/>
    </xf>
    <xf numFmtId="44" fontId="7" fillId="0" borderId="0" xfId="1" applyFont="1" applyFill="1" applyBorder="1" applyAlignment="1"/>
    <xf numFmtId="44" fontId="2" fillId="0" borderId="0" xfId="1" applyFont="1" applyFill="1" applyBorder="1"/>
    <xf numFmtId="1" fontId="0" fillId="2" borderId="4" xfId="0" applyNumberFormat="1" applyFill="1" applyBorder="1"/>
    <xf numFmtId="1" fontId="0" fillId="2" borderId="4" xfId="0" applyNumberFormat="1" applyFill="1" applyBorder="1" applyAlignment="1">
      <alignment horizontal="center"/>
    </xf>
    <xf numFmtId="0" fontId="0" fillId="3" borderId="14" xfId="0" applyFill="1" applyBorder="1" applyAlignment="1">
      <alignment horizontal="center"/>
    </xf>
    <xf numFmtId="0" fontId="0" fillId="3" borderId="1" xfId="0" applyFill="1" applyBorder="1" applyAlignment="1">
      <alignment horizontal="center"/>
    </xf>
    <xf numFmtId="0" fontId="0" fillId="3" borderId="6" xfId="0" applyFill="1" applyBorder="1" applyAlignment="1">
      <alignment horizontal="center"/>
    </xf>
    <xf numFmtId="1" fontId="7" fillId="3" borderId="14" xfId="0" applyNumberFormat="1" applyFont="1" applyFill="1" applyBorder="1" applyAlignment="1">
      <alignment horizontal="center"/>
    </xf>
    <xf numFmtId="1" fontId="7" fillId="3" borderId="1" xfId="0" applyNumberFormat="1" applyFont="1" applyFill="1" applyBorder="1" applyAlignment="1">
      <alignment horizontal="center"/>
    </xf>
    <xf numFmtId="1" fontId="7" fillId="3" borderId="6" xfId="0" applyNumberFormat="1" applyFont="1" applyFill="1" applyBorder="1" applyAlignment="1">
      <alignment horizontal="center"/>
    </xf>
    <xf numFmtId="0" fontId="18" fillId="0" borderId="9" xfId="0" applyFont="1" applyBorder="1" applyAlignment="1">
      <alignment vertical="center"/>
    </xf>
    <xf numFmtId="0" fontId="18" fillId="0" borderId="9" xfId="3" applyFont="1" applyBorder="1" applyAlignment="1">
      <alignment vertical="center"/>
    </xf>
    <xf numFmtId="0" fontId="18" fillId="0" borderId="10" xfId="0" applyFont="1" applyBorder="1" applyAlignment="1">
      <alignment vertical="center"/>
    </xf>
    <xf numFmtId="0" fontId="18" fillId="0" borderId="0" xfId="0" applyFont="1" applyAlignment="1">
      <alignment vertical="center"/>
    </xf>
    <xf numFmtId="0" fontId="18" fillId="0" borderId="1" xfId="0" applyFont="1" applyBorder="1" applyAlignment="1">
      <alignment vertical="center"/>
    </xf>
    <xf numFmtId="0" fontId="18" fillId="0" borderId="6" xfId="0" applyFont="1" applyBorder="1" applyAlignment="1">
      <alignment vertical="center"/>
    </xf>
    <xf numFmtId="44" fontId="7" fillId="3" borderId="14" xfId="1" applyFont="1" applyFill="1" applyBorder="1" applyAlignment="1">
      <alignment horizontal="right"/>
    </xf>
    <xf numFmtId="44" fontId="7" fillId="3" borderId="6" xfId="1" applyFont="1" applyFill="1" applyBorder="1" applyAlignment="1">
      <alignment horizontal="right"/>
    </xf>
    <xf numFmtId="171" fontId="7" fillId="0" borderId="0" xfId="0" applyNumberFormat="1" applyFont="1" applyAlignment="1">
      <alignment horizontal="center"/>
    </xf>
    <xf numFmtId="171" fontId="7" fillId="0" borderId="7" xfId="0" applyNumberFormat="1" applyFont="1" applyBorder="1" applyAlignment="1">
      <alignment horizontal="center"/>
    </xf>
    <xf numFmtId="171" fontId="0" fillId="0" borderId="0" xfId="0" applyNumberFormat="1" applyAlignment="1">
      <alignment horizontal="center"/>
    </xf>
    <xf numFmtId="171" fontId="0" fillId="0" borderId="7" xfId="0" applyNumberFormat="1" applyBorder="1" applyAlignment="1">
      <alignment horizontal="center"/>
    </xf>
    <xf numFmtId="8" fontId="2" fillId="2" borderId="7" xfId="0" applyNumberFormat="1" applyFont="1" applyFill="1" applyBorder="1" applyAlignment="1">
      <alignment horizontal="right"/>
    </xf>
    <xf numFmtId="0" fontId="2" fillId="2" borderId="7" xfId="0" applyFont="1" applyFill="1" applyBorder="1" applyAlignment="1">
      <alignment horizontal="right" indent="1"/>
    </xf>
    <xf numFmtId="8" fontId="2" fillId="2" borderId="7" xfId="0" applyNumberFormat="1" applyFont="1" applyFill="1" applyBorder="1" applyAlignment="1">
      <alignment horizontal="right" indent="1"/>
    </xf>
    <xf numFmtId="8" fontId="0" fillId="3" borderId="7" xfId="0" applyNumberFormat="1" applyFill="1" applyBorder="1"/>
    <xf numFmtId="0" fontId="7" fillId="0" borderId="0" xfId="5" applyFont="1"/>
    <xf numFmtId="0" fontId="22" fillId="0" borderId="0" xfId="5" applyFont="1"/>
    <xf numFmtId="0" fontId="23" fillId="2" borderId="0" xfId="5" applyFont="1" applyFill="1" applyAlignment="1">
      <alignment horizontal="right" indent="1"/>
    </xf>
    <xf numFmtId="0" fontId="22" fillId="2" borderId="0" xfId="5" applyFont="1" applyFill="1" applyAlignment="1">
      <alignment horizontal="right" indent="1"/>
    </xf>
    <xf numFmtId="0" fontId="23" fillId="2" borderId="0" xfId="5" applyFont="1" applyFill="1" applyAlignment="1">
      <alignment horizontal="right" vertical="top" indent="1"/>
    </xf>
    <xf numFmtId="0" fontId="22" fillId="0" borderId="0" xfId="5" applyFont="1" applyAlignment="1">
      <alignment vertical="top"/>
    </xf>
    <xf numFmtId="0" fontId="22" fillId="2" borderId="0" xfId="5" quotePrefix="1" applyFont="1" applyFill="1"/>
    <xf numFmtId="0" fontId="7" fillId="2" borderId="0" xfId="5" quotePrefix="1" applyFont="1" applyFill="1"/>
    <xf numFmtId="0" fontId="22" fillId="2" borderId="0" xfId="5" applyFont="1" applyFill="1" applyAlignment="1">
      <alignment wrapText="1"/>
    </xf>
    <xf numFmtId="0" fontId="22" fillId="0" borderId="0" xfId="5" applyFont="1" applyAlignment="1">
      <alignment wrapText="1"/>
    </xf>
    <xf numFmtId="0" fontId="23" fillId="2" borderId="0" xfId="5" applyFont="1" applyFill="1"/>
    <xf numFmtId="2" fontId="7" fillId="0" borderId="7" xfId="0" applyNumberFormat="1" applyFont="1" applyBorder="1" applyAlignment="1">
      <alignment horizontal="center"/>
    </xf>
    <xf numFmtId="0" fontId="7" fillId="3" borderId="11" xfId="5" applyFont="1" applyFill="1" applyBorder="1"/>
    <xf numFmtId="0" fontId="7" fillId="7" borderId="11" xfId="5" applyFont="1" applyFill="1" applyBorder="1"/>
    <xf numFmtId="0" fontId="15" fillId="2" borderId="0" xfId="5" applyFont="1" applyFill="1"/>
    <xf numFmtId="0" fontId="22" fillId="2" borderId="11" xfId="5" applyFont="1" applyFill="1" applyBorder="1"/>
    <xf numFmtId="0" fontId="22" fillId="3" borderId="11" xfId="5" applyFont="1" applyFill="1" applyBorder="1"/>
    <xf numFmtId="0" fontId="22" fillId="0" borderId="11" xfId="5" applyFont="1" applyBorder="1"/>
    <xf numFmtId="0" fontId="24" fillId="0" borderId="0" xfId="5" applyFont="1"/>
    <xf numFmtId="0" fontId="7" fillId="8" borderId="11" xfId="5" applyFont="1" applyFill="1" applyBorder="1"/>
    <xf numFmtId="0" fontId="25" fillId="0" borderId="0" xfId="0" applyFont="1"/>
    <xf numFmtId="0" fontId="26" fillId="0" borderId="13" xfId="0" applyFont="1" applyBorder="1"/>
    <xf numFmtId="0" fontId="26" fillId="0" borderId="0" xfId="0" applyFont="1"/>
    <xf numFmtId="0" fontId="27" fillId="0" borderId="13" xfId="0" applyFont="1" applyBorder="1"/>
    <xf numFmtId="0" fontId="27" fillId="0" borderId="0" xfId="0" applyFont="1"/>
    <xf numFmtId="0" fontId="28" fillId="0" borderId="13" xfId="0" applyFont="1" applyBorder="1"/>
    <xf numFmtId="0" fontId="28" fillId="0" borderId="0" xfId="0" applyFont="1"/>
    <xf numFmtId="0" fontId="29" fillId="2" borderId="2" xfId="0" applyFont="1" applyFill="1" applyBorder="1"/>
    <xf numFmtId="0" fontId="28" fillId="2" borderId="3" xfId="0" applyFont="1" applyFill="1" applyBorder="1"/>
    <xf numFmtId="0" fontId="28" fillId="0" borderId="7" xfId="0" applyFont="1" applyBorder="1"/>
    <xf numFmtId="0" fontId="28" fillId="2" borderId="7" xfId="0" applyFont="1" applyFill="1" applyBorder="1"/>
    <xf numFmtId="0" fontId="30" fillId="2" borderId="2" xfId="0" applyFont="1" applyFill="1" applyBorder="1"/>
    <xf numFmtId="0" fontId="27" fillId="2" borderId="3" xfId="0" applyFont="1" applyFill="1" applyBorder="1"/>
    <xf numFmtId="0" fontId="27" fillId="0" borderId="7" xfId="0" applyFont="1" applyBorder="1"/>
    <xf numFmtId="0" fontId="27" fillId="2" borderId="7" xfId="0" applyFont="1" applyFill="1" applyBorder="1"/>
    <xf numFmtId="0" fontId="31" fillId="2" borderId="2" xfId="0" applyFont="1" applyFill="1" applyBorder="1"/>
    <xf numFmtId="0" fontId="26" fillId="2" borderId="3" xfId="0" applyFont="1" applyFill="1" applyBorder="1"/>
    <xf numFmtId="0" fontId="26" fillId="0" borderId="7" xfId="0" applyFont="1" applyBorder="1"/>
    <xf numFmtId="0" fontId="26" fillId="2" borderId="7" xfId="0" applyFont="1" applyFill="1" applyBorder="1"/>
    <xf numFmtId="0" fontId="32" fillId="2" borderId="2" xfId="0" applyFont="1" applyFill="1" applyBorder="1" applyAlignment="1">
      <alignment horizontal="left"/>
    </xf>
    <xf numFmtId="0" fontId="25" fillId="2" borderId="7" xfId="0" applyFont="1" applyFill="1" applyBorder="1" applyAlignment="1">
      <alignment horizontal="left"/>
    </xf>
    <xf numFmtId="0" fontId="25" fillId="0" borderId="7" xfId="0" applyFont="1" applyBorder="1"/>
    <xf numFmtId="0" fontId="10" fillId="0" borderId="13" xfId="0" applyFont="1" applyBorder="1"/>
    <xf numFmtId="0" fontId="10" fillId="0" borderId="0" xfId="0" applyFont="1"/>
    <xf numFmtId="0" fontId="10" fillId="0" borderId="7" xfId="0" applyFont="1" applyBorder="1"/>
    <xf numFmtId="0" fontId="22" fillId="2" borderId="0" xfId="5" applyFont="1" applyFill="1"/>
    <xf numFmtId="0" fontId="7" fillId="2" borderId="0" xfId="5" applyFont="1" applyFill="1"/>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applyAlignment="1">
      <alignment horizontal="center"/>
    </xf>
    <xf numFmtId="0" fontId="2" fillId="2" borderId="7" xfId="0" applyFont="1" applyFill="1" applyBorder="1" applyAlignment="1">
      <alignment horizontal="center"/>
    </xf>
    <xf numFmtId="0" fontId="2" fillId="2" borderId="7" xfId="0" applyFont="1" applyFill="1" applyBorder="1" applyAlignment="1">
      <alignment horizontal="center" wrapText="1"/>
    </xf>
    <xf numFmtId="0" fontId="7" fillId="2" borderId="0" xfId="5" applyFont="1" applyFill="1" applyAlignment="1">
      <alignment vertical="top" wrapText="1"/>
    </xf>
    <xf numFmtId="0" fontId="15" fillId="3" borderId="0" xfId="5" applyFont="1" applyFill="1" applyAlignment="1">
      <alignment vertical="top" wrapText="1"/>
    </xf>
    <xf numFmtId="0" fontId="22" fillId="2" borderId="0" xfId="5" applyFont="1" applyFill="1" applyAlignment="1">
      <alignment vertical="top" wrapText="1"/>
    </xf>
    <xf numFmtId="0" fontId="15" fillId="7" borderId="0" xfId="5" applyFont="1" applyFill="1" applyAlignment="1">
      <alignment vertical="top" wrapText="1"/>
    </xf>
    <xf numFmtId="0" fontId="37" fillId="2" borderId="0" xfId="5" applyFont="1" applyFill="1" applyAlignment="1">
      <alignment horizontal="left" vertical="top" wrapText="1"/>
    </xf>
    <xf numFmtId="0" fontId="22" fillId="2" borderId="0" xfId="5" applyFont="1" applyFill="1" applyAlignment="1">
      <alignment horizontal="left" vertical="top" wrapText="1"/>
    </xf>
    <xf numFmtId="0" fontId="15" fillId="8" borderId="0" xfId="5" applyFont="1" applyFill="1" applyAlignment="1">
      <alignment vertical="top" wrapText="1"/>
    </xf>
    <xf numFmtId="0" fontId="7" fillId="0" borderId="0" xfId="5" applyFont="1" applyAlignment="1">
      <alignment horizontal="center"/>
    </xf>
    <xf numFmtId="0" fontId="19" fillId="0" borderId="0" xfId="5" applyFont="1" applyAlignment="1">
      <alignment horizontal="center"/>
    </xf>
    <xf numFmtId="49" fontId="22" fillId="0" borderId="0" xfId="5" applyNumberFormat="1" applyFont="1" applyAlignment="1">
      <alignment vertical="center" wrapText="1"/>
    </xf>
    <xf numFmtId="0" fontId="17" fillId="2" borderId="7" xfId="0" applyFont="1" applyFill="1" applyBorder="1" applyAlignment="1">
      <alignment horizontal="center"/>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1" fontId="2" fillId="2" borderId="2" xfId="0" applyNumberFormat="1" applyFont="1" applyFill="1" applyBorder="1" applyAlignment="1">
      <alignment horizontal="center"/>
    </xf>
    <xf numFmtId="1" fontId="2" fillId="2" borderId="4" xfId="0" applyNumberFormat="1" applyFont="1" applyFill="1" applyBorder="1" applyAlignment="1">
      <alignment horizontal="center"/>
    </xf>
    <xf numFmtId="0" fontId="2" fillId="2" borderId="3" xfId="0" applyFont="1" applyFill="1" applyBorder="1" applyAlignment="1">
      <alignment horizontal="center"/>
    </xf>
    <xf numFmtId="0" fontId="2" fillId="2" borderId="2" xfId="0" quotePrefix="1" applyFont="1" applyFill="1" applyBorder="1" applyAlignment="1">
      <alignment horizontal="center"/>
    </xf>
    <xf numFmtId="0" fontId="2" fillId="2" borderId="4" xfId="0" quotePrefix="1" applyFont="1" applyFill="1" applyBorder="1" applyAlignment="1">
      <alignment horizontal="center"/>
    </xf>
    <xf numFmtId="0" fontId="2" fillId="2" borderId="2" xfId="0" applyFont="1" applyFill="1" applyBorder="1" applyAlignment="1">
      <alignment horizontal="center"/>
    </xf>
    <xf numFmtId="2" fontId="2" fillId="2" borderId="2" xfId="0" quotePrefix="1" applyNumberFormat="1" applyFont="1" applyFill="1" applyBorder="1" applyAlignment="1">
      <alignment horizontal="center"/>
    </xf>
    <xf numFmtId="2" fontId="2" fillId="2" borderId="3" xfId="0" quotePrefix="1" applyNumberFormat="1"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applyAlignment="1">
      <alignment horizontal="center"/>
    </xf>
    <xf numFmtId="1" fontId="2" fillId="2" borderId="16" xfId="0" applyNumberFormat="1" applyFont="1" applyFill="1" applyBorder="1" applyAlignment="1">
      <alignment horizontal="center"/>
    </xf>
    <xf numFmtId="1" fontId="2" fillId="2" borderId="17" xfId="0" applyNumberFormat="1" applyFont="1" applyFill="1" applyBorder="1" applyAlignment="1">
      <alignment horizontal="center"/>
    </xf>
    <xf numFmtId="1" fontId="2" fillId="2" borderId="18" xfId="0" applyNumberFormat="1" applyFont="1" applyFill="1" applyBorder="1" applyAlignment="1">
      <alignment horizontal="center"/>
    </xf>
    <xf numFmtId="0" fontId="2" fillId="2" borderId="3" xfId="0" applyFont="1" applyFill="1" applyBorder="1" applyAlignment="1">
      <alignment horizontal="center" vertical="center"/>
    </xf>
    <xf numFmtId="0" fontId="2" fillId="2" borderId="7" xfId="0" applyFont="1" applyFill="1" applyBorder="1" applyAlignment="1">
      <alignment horizontal="center"/>
    </xf>
    <xf numFmtId="0" fontId="2" fillId="2" borderId="13" xfId="0" applyFont="1" applyFill="1" applyBorder="1" applyAlignment="1">
      <alignment horizontal="center" wrapText="1"/>
    </xf>
    <xf numFmtId="0" fontId="2" fillId="2" borderId="7" xfId="0" applyFont="1" applyFill="1" applyBorder="1" applyAlignment="1">
      <alignment horizontal="center" wrapText="1"/>
    </xf>
    <xf numFmtId="17" fontId="14" fillId="2" borderId="0" xfId="0" applyNumberFormat="1" applyFont="1" applyFill="1" applyAlignment="1">
      <alignment horizontal="center" vertical="center" wrapText="1"/>
    </xf>
    <xf numFmtId="0" fontId="15" fillId="7" borderId="7" xfId="5" applyFont="1" applyFill="1" applyBorder="1" applyAlignment="1"/>
    <xf numFmtId="0" fontId="22" fillId="2" borderId="0" xfId="5" applyFont="1" applyFill="1" applyAlignment="1"/>
    <xf numFmtId="0" fontId="7" fillId="2" borderId="0" xfId="5" applyFont="1" applyFill="1" applyAlignment="1"/>
  </cellXfs>
  <cellStyles count="6">
    <cellStyle name="Comma" xfId="4" builtinId="3"/>
    <cellStyle name="Currency" xfId="1" builtinId="4"/>
    <cellStyle name="Hyperlink" xfId="3" builtinId="8"/>
    <cellStyle name="Normal" xfId="0" builtinId="0"/>
    <cellStyle name="Normal 2" xfId="5" xr:uid="{49DD4697-C718-472E-B1B5-529CB4ABE4AA}"/>
    <cellStyle name="Percent" xfId="2" builtinId="5"/>
  </cellStyles>
  <dxfs count="3">
    <dxf>
      <fill>
        <patternFill>
          <bgColor rgb="FFFF0000"/>
        </patternFill>
      </fill>
    </dxf>
    <dxf>
      <fill>
        <patternFill>
          <bgColor theme="9" tint="0.59996337778862885"/>
        </patternFill>
      </fill>
    </dxf>
    <dxf>
      <fill>
        <patternFill>
          <bgColor rgb="FFFF0000"/>
        </patternFill>
      </fill>
    </dxf>
  </dxfs>
  <tableStyles count="0" defaultTableStyle="TableStyleMedium2" defaultPivotStyle="PivotStyleLight16"/>
  <colors>
    <mruColors>
      <color rgb="FF774D83"/>
      <color rgb="FFFFDC97"/>
      <color rgb="FF00FF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Material Cost</a:t>
            </a:r>
          </a:p>
        </c:rich>
      </c:tx>
      <c:layout>
        <c:manualLayout>
          <c:xMode val="edge"/>
          <c:yMode val="edge"/>
          <c:x val="0.13843241713744892"/>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4714301046941622"/>
          <c:y val="0.15409766075944648"/>
          <c:w val="0.82935671145196066"/>
          <c:h val="0.67761995291464405"/>
        </c:manualLayout>
      </c:layout>
      <c:barChart>
        <c:barDir val="col"/>
        <c:grouping val="clustered"/>
        <c:varyColors val="0"/>
        <c:ser>
          <c:idx val="0"/>
          <c:order val="0"/>
          <c:tx>
            <c:strRef>
              <c:f>'Capital_Summary (Ref)'!$D$6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75-400A-8131-60625F51B446}"/>
                </c:ext>
              </c:extLst>
            </c:dLbl>
            <c:dLbl>
              <c:idx val="1"/>
              <c:layout>
                <c:manualLayout>
                  <c:x val="-1.4869888475836431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75-400A-8131-60625F51B446}"/>
                </c:ext>
              </c:extLst>
            </c:dLbl>
            <c:dLbl>
              <c:idx val="2"/>
              <c:layout>
                <c:manualLayout>
                  <c:x val="-1.23915737298637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75-400A-8131-60625F51B446}"/>
                </c:ext>
              </c:extLst>
            </c:dLbl>
            <c:dLbl>
              <c:idx val="3"/>
              <c:layout>
                <c:manualLayout>
                  <c:x val="-1.2391573729863693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75-400A-8131-60625F51B446}"/>
                </c:ext>
              </c:extLst>
            </c:dLbl>
            <c:numFmt formatCode="&quot;$&quot;\ 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'Capital_Summary (Ref)'!$C$8:$C$11</c:f>
              <c:strCache>
                <c:ptCount val="4"/>
                <c:pt idx="0">
                  <c:v>Model High School</c:v>
                </c:pt>
                <c:pt idx="1">
                  <c:v>College Ave (Roadway)</c:v>
                </c:pt>
                <c:pt idx="2">
                  <c:v>College Ave (Area)</c:v>
                </c:pt>
                <c:pt idx="3">
                  <c:v>College Ave (Decorative)</c:v>
                </c:pt>
              </c:strCache>
            </c:strRef>
          </c:cat>
          <c:val>
            <c:numRef>
              <c:f>'Capital_Summary (Ref)'!$D$8:$D$11</c:f>
              <c:numCache>
                <c:formatCode>_("$"* #,##0_);_("$"* \(#,##0\);_("$"* "-"??_);_(@_)</c:formatCode>
                <c:ptCount val="4"/>
                <c:pt idx="0">
                  <c:v>89746.89143399999</c:v>
                </c:pt>
                <c:pt idx="1">
                  <c:v>12452.962617899997</c:v>
                </c:pt>
                <c:pt idx="2">
                  <c:v>14610.470253299996</c:v>
                </c:pt>
                <c:pt idx="3">
                  <c:v>32750.388852299999</c:v>
                </c:pt>
              </c:numCache>
            </c:numRef>
          </c:val>
          <c:extLst>
            <c:ext xmlns:c16="http://schemas.microsoft.com/office/drawing/2014/chart" uri="{C3380CC4-5D6E-409C-BE32-E72D297353CC}">
              <c16:uniqueId val="{00000004-6B75-400A-8131-60625F51B446}"/>
            </c:ext>
          </c:extLst>
        </c:ser>
        <c:ser>
          <c:idx val="1"/>
          <c:order val="1"/>
          <c:tx>
            <c:strRef>
              <c:f>'Capital_Summary (Ref)'!$H$6</c:f>
              <c:strCache>
                <c:ptCount val="1"/>
                <c:pt idx="0">
                  <c:v>Retrofit 2</c:v>
                </c:pt>
              </c:strCache>
            </c:strRef>
          </c:tx>
          <c:spPr>
            <a:solidFill>
              <a:schemeClr val="accent5"/>
            </a:solidFill>
            <a:ln w="12700">
              <a:solidFill>
                <a:schemeClr val="tx1"/>
              </a:solidFill>
            </a:ln>
            <a:effectLst/>
          </c:spPr>
          <c:invertIfNegative val="0"/>
          <c:dLbls>
            <c:dLbl>
              <c:idx val="0"/>
              <c:layout>
                <c:manualLayout>
                  <c:x val="1.23915737298636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75-400A-8131-60625F51B446}"/>
                </c:ext>
              </c:extLst>
            </c:dLbl>
            <c:dLbl>
              <c:idx val="1"/>
              <c:layout>
                <c:manualLayout>
                  <c:x val="4.9566294919454771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B75-400A-8131-60625F51B446}"/>
                </c:ext>
              </c:extLst>
            </c:dLbl>
            <c:dLbl>
              <c:idx val="2"/>
              <c:layout>
                <c:manualLayout>
                  <c:x val="7.434944237918125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B75-400A-8131-60625F51B446}"/>
                </c:ext>
              </c:extLst>
            </c:dLbl>
            <c:numFmt formatCode="&quot;$&quot;\ 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'Capital_Summary (Ref)'!$C$8:$C$11</c:f>
              <c:strCache>
                <c:ptCount val="4"/>
                <c:pt idx="0">
                  <c:v>Model High School</c:v>
                </c:pt>
                <c:pt idx="1">
                  <c:v>College Ave (Roadway)</c:v>
                </c:pt>
                <c:pt idx="2">
                  <c:v>College Ave (Area)</c:v>
                </c:pt>
                <c:pt idx="3">
                  <c:v>College Ave (Decorative)</c:v>
                </c:pt>
              </c:strCache>
            </c:strRef>
          </c:cat>
          <c:val>
            <c:numRef>
              <c:f>'Capital_Summary (Ref)'!$H$8:$H$11</c:f>
              <c:numCache>
                <c:formatCode>_("$"* #,##0_);_("$"* \(#,##0\);_("$"* "-"??_);_(@_)</c:formatCode>
                <c:ptCount val="4"/>
                <c:pt idx="0">
                  <c:v>91982.957246099977</c:v>
                </c:pt>
                <c:pt idx="1">
                  <c:v>15293.702277899996</c:v>
                </c:pt>
                <c:pt idx="2">
                  <c:v>14610.470253299996</c:v>
                </c:pt>
                <c:pt idx="3">
                  <c:v>46390.094952299987</c:v>
                </c:pt>
              </c:numCache>
            </c:numRef>
          </c:val>
          <c:extLst>
            <c:ext xmlns:c16="http://schemas.microsoft.com/office/drawing/2014/chart" uri="{C3380CC4-5D6E-409C-BE32-E72D297353CC}">
              <c16:uniqueId val="{00000008-6B75-400A-8131-60625F51B446}"/>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ax val="105000"/>
          <c:min val="0"/>
        </c:scaling>
        <c:delete val="0"/>
        <c:axPos val="l"/>
        <c:numFmt formatCode="&quot;$&quot;\ 0,\ \k"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64440554596102995"/>
          <c:y val="4.4854567757131834E-2"/>
          <c:w val="0.33081130657924263"/>
          <c:h val="9.0952668849693816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Cleaning Cost -</a:t>
            </a:r>
            <a:r>
              <a:rPr lang="en-US" sz="1400" b="1" baseline="0">
                <a:solidFill>
                  <a:sysClr val="windowText" lastClr="000000"/>
                </a:solidFill>
              </a:rPr>
              <a:t> Yearly</a:t>
            </a:r>
            <a:endParaRPr lang="en-US" sz="1400" b="1">
              <a:solidFill>
                <a:sysClr val="windowText" lastClr="000000"/>
              </a:solidFill>
            </a:endParaRPr>
          </a:p>
        </c:rich>
      </c:tx>
      <c:layout>
        <c:manualLayout>
          <c:xMode val="edge"/>
          <c:yMode val="edge"/>
          <c:x val="0.11611107205349332"/>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651024090738658"/>
          <c:y val="0.15779622594913337"/>
          <c:w val="0.84110540869891259"/>
          <c:h val="0.67761995291464405"/>
        </c:manualLayout>
      </c:layout>
      <c:barChart>
        <c:barDir val="col"/>
        <c:grouping val="clustered"/>
        <c:varyColors val="0"/>
        <c:ser>
          <c:idx val="0"/>
          <c:order val="0"/>
          <c:tx>
            <c:strRef>
              <c:f>'Maint_Summary (Ref)'!$J$6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5D-41E2-B6C8-D337F4A9BCBC}"/>
                </c:ext>
              </c:extLst>
            </c:dLbl>
            <c:dLbl>
              <c:idx val="1"/>
              <c:layout>
                <c:manualLayout>
                  <c:x val="-1.4869888475836431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5D-41E2-B6C8-D337F4A9BCBC}"/>
                </c:ext>
              </c:extLst>
            </c:dLbl>
            <c:dLbl>
              <c:idx val="2"/>
              <c:layout>
                <c:manualLayout>
                  <c:x val="-1.23915737298637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5D-41E2-B6C8-D337F4A9BCBC}"/>
                </c:ext>
              </c:extLst>
            </c:dLbl>
            <c:dLbl>
              <c:idx val="3"/>
              <c:layout>
                <c:manualLayout>
                  <c:x val="-1.2391573729863693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5D-41E2-B6C8-D337F4A9BCBC}"/>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(Ref)'!$L$8:$L$11</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4-DF5D-41E2-B6C8-D337F4A9BCBC}"/>
            </c:ext>
          </c:extLst>
        </c:ser>
        <c:ser>
          <c:idx val="1"/>
          <c:order val="1"/>
          <c:tx>
            <c:strRef>
              <c:f>'Maint_Summary (Ref)'!$O$6</c:f>
              <c:strCache>
                <c:ptCount val="1"/>
                <c:pt idx="0">
                  <c:v>Retrofit 2</c:v>
                </c:pt>
              </c:strCache>
            </c:strRef>
          </c:tx>
          <c:spPr>
            <a:solidFill>
              <a:schemeClr val="accent5"/>
            </a:solidFill>
            <a:ln w="12700">
              <a:solidFill>
                <a:schemeClr val="tx1"/>
              </a:solidFill>
            </a:ln>
            <a:effectLst/>
          </c:spPr>
          <c:invertIfNegative val="0"/>
          <c:dLbls>
            <c:dLbl>
              <c:idx val="0"/>
              <c:layout>
                <c:manualLayout>
                  <c:x val="1.23915737298636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5D-41E2-B6C8-D337F4A9BCBC}"/>
                </c:ext>
              </c:extLst>
            </c:dLbl>
            <c:dLbl>
              <c:idx val="1"/>
              <c:layout>
                <c:manualLayout>
                  <c:x val="4.9566294919454771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F5D-41E2-B6C8-D337F4A9BCBC}"/>
                </c:ext>
              </c:extLst>
            </c:dLbl>
            <c:dLbl>
              <c:idx val="2"/>
              <c:layout>
                <c:manualLayout>
                  <c:x val="7.434944237918125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F5D-41E2-B6C8-D337F4A9BCBC}"/>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(Ref)'!$Q$8:$Q$11</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8-DF5D-41E2-B6C8-D337F4A9BCBC}"/>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in val="0"/>
        </c:scaling>
        <c:delete val="0"/>
        <c:axPos val="l"/>
        <c:numFmt formatCode="&quot;$&quot;#,##0"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49570666120266565"/>
          <c:y val="4.4854567757131834E-2"/>
          <c:w val="0.47951019133760697"/>
          <c:h val="9.2046220998298081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Total Cost - Yearly</a:t>
            </a:r>
          </a:p>
        </c:rich>
      </c:tx>
      <c:layout>
        <c:manualLayout>
          <c:xMode val="edge"/>
          <c:yMode val="edge"/>
          <c:x val="0.11363091332333458"/>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651024090738658"/>
          <c:y val="0.15779622594913337"/>
          <c:w val="0.84110540869891259"/>
          <c:h val="0.67761995291464405"/>
        </c:manualLayout>
      </c:layout>
      <c:barChart>
        <c:barDir val="col"/>
        <c:grouping val="clustered"/>
        <c:varyColors val="0"/>
        <c:ser>
          <c:idx val="0"/>
          <c:order val="0"/>
          <c:tx>
            <c:strRef>
              <c:f>'Maint_Summary (Ref)'!$J$6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59-4EF9-A4A3-6D8CBC91CAE8}"/>
                </c:ext>
              </c:extLst>
            </c:dLbl>
            <c:dLbl>
              <c:idx val="1"/>
              <c:layout>
                <c:manualLayout>
                  <c:x val="-1.4869888475836431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59-4EF9-A4A3-6D8CBC91CAE8}"/>
                </c:ext>
              </c:extLst>
            </c:dLbl>
            <c:dLbl>
              <c:idx val="2"/>
              <c:layout>
                <c:manualLayout>
                  <c:x val="-1.23915737298637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59-4EF9-A4A3-6D8CBC91CAE8}"/>
                </c:ext>
              </c:extLst>
            </c:dLbl>
            <c:dLbl>
              <c:idx val="3"/>
              <c:layout>
                <c:manualLayout>
                  <c:x val="-1.2391573729863693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59-4EF9-A4A3-6D8CBC91CAE8}"/>
                </c:ext>
              </c:extLst>
            </c:dLbl>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(Ref)'!$M$8:$M$11</c:f>
              <c:numCache>
                <c:formatCode>_("$"* #,##0_);_("$"* \(#,##0\);_("$"* "-"??_);_(@_)</c:formatCode>
                <c:ptCount val="4"/>
                <c:pt idx="0">
                  <c:v>129.04648039200001</c:v>
                </c:pt>
                <c:pt idx="1">
                  <c:v>9.2658859200000006</c:v>
                </c:pt>
                <c:pt idx="2">
                  <c:v>13.4974993075</c:v>
                </c:pt>
                <c:pt idx="3">
                  <c:v>34.032769199999997</c:v>
                </c:pt>
              </c:numCache>
            </c:numRef>
          </c:val>
          <c:extLst>
            <c:ext xmlns:c16="http://schemas.microsoft.com/office/drawing/2014/chart" uri="{C3380CC4-5D6E-409C-BE32-E72D297353CC}">
              <c16:uniqueId val="{00000004-FA59-4EF9-A4A3-6D8CBC91CAE8}"/>
            </c:ext>
          </c:extLst>
        </c:ser>
        <c:ser>
          <c:idx val="1"/>
          <c:order val="1"/>
          <c:tx>
            <c:strRef>
              <c:f>'Maint_Summary (Ref)'!$O$6</c:f>
              <c:strCache>
                <c:ptCount val="1"/>
                <c:pt idx="0">
                  <c:v>Retrofit 2</c:v>
                </c:pt>
              </c:strCache>
            </c:strRef>
          </c:tx>
          <c:spPr>
            <a:solidFill>
              <a:schemeClr val="accent5"/>
            </a:solidFill>
            <a:ln w="12700">
              <a:solidFill>
                <a:schemeClr val="tx1"/>
              </a:solidFill>
            </a:ln>
            <a:effectLst/>
          </c:spPr>
          <c:invertIfNegative val="0"/>
          <c:dLbls>
            <c:dLbl>
              <c:idx val="0"/>
              <c:layout>
                <c:manualLayout>
                  <c:x val="1.23915737298636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59-4EF9-A4A3-6D8CBC91CAE8}"/>
                </c:ext>
              </c:extLst>
            </c:dLbl>
            <c:dLbl>
              <c:idx val="1"/>
              <c:layout>
                <c:manualLayout>
                  <c:x val="4.9566294919454771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59-4EF9-A4A3-6D8CBC91CAE8}"/>
                </c:ext>
              </c:extLst>
            </c:dLbl>
            <c:dLbl>
              <c:idx val="2"/>
              <c:layout>
                <c:manualLayout>
                  <c:x val="7.434944237918125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A59-4EF9-A4A3-6D8CBC91CAE8}"/>
                </c:ext>
              </c:extLst>
            </c:dLbl>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(Ref)'!$R$8:$R$11</c:f>
              <c:numCache>
                <c:formatCode>_("$"* #,##0_);_("$"* \(#,##0\);_("$"* "-"??_);_(@_)</c:formatCode>
                <c:ptCount val="4"/>
                <c:pt idx="0">
                  <c:v>130.16451329805</c:v>
                </c:pt>
                <c:pt idx="1">
                  <c:v>10.686255750000001</c:v>
                </c:pt>
                <c:pt idx="2">
                  <c:v>13.4974993075</c:v>
                </c:pt>
                <c:pt idx="3">
                  <c:v>40.852622249999996</c:v>
                </c:pt>
              </c:numCache>
            </c:numRef>
          </c:val>
          <c:extLst>
            <c:ext xmlns:c16="http://schemas.microsoft.com/office/drawing/2014/chart" uri="{C3380CC4-5D6E-409C-BE32-E72D297353CC}">
              <c16:uniqueId val="{00000008-FA59-4EF9-A4A3-6D8CBC91CAE8}"/>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ax val="145"/>
          <c:min val="0"/>
        </c:scaling>
        <c:delete val="0"/>
        <c:axPos val="l"/>
        <c:numFmt formatCode="_(&quot;$&quot;* #,##0_);_(&quot;$&quot;* \(#,##0\);_(&quot;$&quot;* &quot;-&quot;_);_(@_)"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49570666120266565"/>
          <c:y val="4.4854567757131834E-2"/>
          <c:w val="0.47951019133760697"/>
          <c:h val="9.2046220998298081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Base</a:t>
            </a:r>
            <a:r>
              <a:rPr lang="en-US" sz="1400" b="1" baseline="0">
                <a:solidFill>
                  <a:sysClr val="windowText" lastClr="000000"/>
                </a:solidFill>
              </a:rPr>
              <a:t> Case</a:t>
            </a:r>
            <a:endParaRPr lang="en-US" sz="1400" b="1">
              <a:solidFill>
                <a:sysClr val="windowText" lastClr="000000"/>
              </a:solidFill>
            </a:endParaRPr>
          </a:p>
        </c:rich>
      </c:tx>
      <c:layout>
        <c:manualLayout>
          <c:xMode val="edge"/>
          <c:yMode val="edge"/>
          <c:x val="0.10619043713285838"/>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089886719550391"/>
          <c:y val="0.15779622594913337"/>
          <c:w val="0.85598636107986481"/>
          <c:h val="0.67761995291464405"/>
        </c:manualLayout>
      </c:layout>
      <c:barChart>
        <c:barDir val="col"/>
        <c:grouping val="clustered"/>
        <c:varyColors val="0"/>
        <c:ser>
          <c:idx val="2"/>
          <c:order val="0"/>
          <c:tx>
            <c:strRef>
              <c:f>'Maint_Summary (Ref)'!$D$7</c:f>
              <c:strCache>
                <c:ptCount val="1"/>
                <c:pt idx="0">
                  <c:v>Relamp</c:v>
                </c:pt>
              </c:strCache>
            </c:strRef>
          </c:tx>
          <c:spPr>
            <a:solidFill>
              <a:schemeClr val="accent3"/>
            </a:solidFill>
            <a:ln>
              <a:noFill/>
            </a:ln>
            <a:effectLst/>
          </c:spPr>
          <c:invertIfNegative val="0"/>
          <c:dLbls>
            <c:dLbl>
              <c:idx val="1"/>
              <c:layout>
                <c:manualLayout>
                  <c:x val="-1.7372350838631184E-2"/>
                  <c:y val="-1.3561249034812505E-16"/>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6B-490E-A4CB-AC42FA56C006}"/>
                </c:ext>
              </c:extLst>
            </c:dLbl>
            <c:dLbl>
              <c:idx val="2"/>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1-B16B-490E-A4CB-AC42FA56C006}"/>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(Ref)'!$C$8:$C$11</c:f>
              <c:strCache>
                <c:ptCount val="4"/>
                <c:pt idx="0">
                  <c:v>Model High School</c:v>
                </c:pt>
                <c:pt idx="1">
                  <c:v>College Ave (Roadway)</c:v>
                </c:pt>
                <c:pt idx="2">
                  <c:v>College Ave (Area)</c:v>
                </c:pt>
                <c:pt idx="3">
                  <c:v>College Ave (Decorative)</c:v>
                </c:pt>
              </c:strCache>
            </c:strRef>
          </c:cat>
          <c:val>
            <c:numRef>
              <c:f>'Maint_Summary (Ref)'!$D$8:$D$11</c:f>
              <c:numCache>
                <c:formatCode>_("$"* #,##0.00_);_("$"* \(#,##0.00\);_("$"* "-"??_);_(@_)</c:formatCode>
                <c:ptCount val="4"/>
                <c:pt idx="0">
                  <c:v>5532.3543869999994</c:v>
                </c:pt>
                <c:pt idx="1">
                  <c:v>164.65340437499998</c:v>
                </c:pt>
                <c:pt idx="2">
                  <c:v>711.46532754629629</c:v>
                </c:pt>
                <c:pt idx="3">
                  <c:v>1317.2272350000001</c:v>
                </c:pt>
              </c:numCache>
            </c:numRef>
          </c:val>
          <c:extLst>
            <c:ext xmlns:c16="http://schemas.microsoft.com/office/drawing/2014/chart" uri="{C3380CC4-5D6E-409C-BE32-E72D297353CC}">
              <c16:uniqueId val="{00000002-B16B-490E-A4CB-AC42FA56C006}"/>
            </c:ext>
          </c:extLst>
        </c:ser>
        <c:ser>
          <c:idx val="0"/>
          <c:order val="1"/>
          <c:tx>
            <c:strRef>
              <c:f>'Maint_Summary (Ref)'!$E$7</c:f>
              <c:strCache>
                <c:ptCount val="1"/>
                <c:pt idx="0">
                  <c:v>Ballast</c:v>
                </c:pt>
              </c:strCache>
            </c:strRef>
          </c:tx>
          <c:spPr>
            <a:solidFill>
              <a:schemeClr val="accent1"/>
            </a:solidFill>
            <a:ln>
              <a:noFill/>
            </a:ln>
            <a:effectLst/>
          </c:spPr>
          <c:invertIfNegative val="0"/>
          <c:dLbls>
            <c:dLbl>
              <c:idx val="1"/>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3-B16B-490E-A4CB-AC42FA56C006}"/>
                </c:ext>
              </c:extLst>
            </c:dLbl>
            <c:dLbl>
              <c:idx val="2"/>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4-B16B-490E-A4CB-AC42FA56C006}"/>
                </c:ext>
              </c:extLst>
            </c:dLbl>
            <c:dLbl>
              <c:idx val="3"/>
              <c:layout>
                <c:manualLayout>
                  <c:x val="1.4890586433112443E-2"/>
                  <c:y val="-3.6985651896870213E-3"/>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6B-490E-A4CB-AC42FA56C006}"/>
                </c:ext>
              </c:extLst>
            </c:dLbl>
            <c:numFmt formatCode="&quot;$&quot;\ 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(Ref)'!$C$8:$C$11</c:f>
              <c:strCache>
                <c:ptCount val="4"/>
                <c:pt idx="0">
                  <c:v>Model High School</c:v>
                </c:pt>
                <c:pt idx="1">
                  <c:v>College Ave (Roadway)</c:v>
                </c:pt>
                <c:pt idx="2">
                  <c:v>College Ave (Area)</c:v>
                </c:pt>
                <c:pt idx="3">
                  <c:v>College Ave (Decorative)</c:v>
                </c:pt>
              </c:strCache>
            </c:strRef>
          </c:cat>
          <c:val>
            <c:numRef>
              <c:f>'Maint_Summary (Ref)'!$E$8:$E$11</c:f>
              <c:numCache>
                <c:formatCode>_("$"* #,##0.00_);_("$"* \(#,##0.00\);_("$"* "-"??_);_(@_)</c:formatCode>
                <c:ptCount val="4"/>
                <c:pt idx="0">
                  <c:v>813.58152749999988</c:v>
                </c:pt>
                <c:pt idx="1">
                  <c:v>58.112966249999999</c:v>
                </c:pt>
                <c:pt idx="2">
                  <c:v>79.528670479166664</c:v>
                </c:pt>
                <c:pt idx="3">
                  <c:v>193.70988749999998</c:v>
                </c:pt>
              </c:numCache>
            </c:numRef>
          </c:val>
          <c:extLst>
            <c:ext xmlns:c16="http://schemas.microsoft.com/office/drawing/2014/chart" uri="{C3380CC4-5D6E-409C-BE32-E72D297353CC}">
              <c16:uniqueId val="{00000006-B16B-490E-A4CB-AC42FA56C006}"/>
            </c:ext>
          </c:extLst>
        </c:ser>
        <c:ser>
          <c:idx val="3"/>
          <c:order val="2"/>
          <c:tx>
            <c:strRef>
              <c:f>'Maint_Summary (Ref)'!$F$7</c:f>
              <c:strCache>
                <c:ptCount val="1"/>
                <c:pt idx="0">
                  <c:v>Clean</c:v>
                </c:pt>
              </c:strCache>
            </c:strRef>
          </c:tx>
          <c:spPr>
            <a:solidFill>
              <a:schemeClr val="accent4"/>
            </a:solidFill>
            <a:ln>
              <a:noFill/>
            </a:ln>
            <a:effectLst/>
          </c:spPr>
          <c:invertIfNegative val="0"/>
          <c:cat>
            <c:strRef>
              <c:f>'Maint_Summary (Ref)'!$C$8:$C$11</c:f>
              <c:strCache>
                <c:ptCount val="4"/>
                <c:pt idx="0">
                  <c:v>Model High School</c:v>
                </c:pt>
                <c:pt idx="1">
                  <c:v>College Ave (Roadway)</c:v>
                </c:pt>
                <c:pt idx="2">
                  <c:v>College Ave (Area)</c:v>
                </c:pt>
                <c:pt idx="3">
                  <c:v>College Ave (Decorative)</c:v>
                </c:pt>
              </c:strCache>
            </c:strRef>
          </c:cat>
          <c:val>
            <c:numRef>
              <c:f>'Maint_Summary (Ref)'!$F$8:$F$11</c:f>
              <c:numCache>
                <c:formatCode>_("$"* #,##0.00_);_("$"* \(#,##0.00\);_("$"* "-"??_);_(@_)</c:formatCode>
                <c:ptCount val="4"/>
                <c:pt idx="0">
                  <c:v>0</c:v>
                </c:pt>
                <c:pt idx="1">
                  <c:v>0</c:v>
                </c:pt>
                <c:pt idx="2">
                  <c:v>0</c:v>
                </c:pt>
                <c:pt idx="3">
                  <c:v>0</c:v>
                </c:pt>
              </c:numCache>
            </c:numRef>
          </c:val>
          <c:extLst>
            <c:ext xmlns:c16="http://schemas.microsoft.com/office/drawing/2014/chart" uri="{C3380CC4-5D6E-409C-BE32-E72D297353CC}">
              <c16:uniqueId val="{00000007-B16B-490E-A4CB-AC42FA56C006}"/>
            </c:ext>
          </c:extLst>
        </c:ser>
        <c:ser>
          <c:idx val="1"/>
          <c:order val="3"/>
          <c:tx>
            <c:strRef>
              <c:f>'Maint_Summary (Ref)'!$G$7</c:f>
              <c:strCache>
                <c:ptCount val="1"/>
                <c:pt idx="0">
                  <c:v>Total</c:v>
                </c:pt>
              </c:strCache>
            </c:strRef>
          </c:tx>
          <c:spPr>
            <a:solidFill>
              <a:schemeClr val="accent2"/>
            </a:solidFill>
            <a:ln>
              <a:noFill/>
            </a:ln>
            <a:effectLst/>
          </c:spPr>
          <c:invertIfNegative val="0"/>
          <c:dLbls>
            <c:dLbl>
              <c:idx val="1"/>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8-B16B-490E-A4CB-AC42FA56C006}"/>
                </c:ext>
              </c:extLst>
            </c:dLbl>
            <c:dLbl>
              <c:idx val="2"/>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9-B16B-490E-A4CB-AC42FA56C006}"/>
                </c:ext>
              </c:extLst>
            </c:dLbl>
            <c:numFmt formatCode="&quot;$&quot;\ 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(Ref)'!$C$8:$C$11</c:f>
              <c:strCache>
                <c:ptCount val="4"/>
                <c:pt idx="0">
                  <c:v>Model High School</c:v>
                </c:pt>
                <c:pt idx="1">
                  <c:v>College Ave (Roadway)</c:v>
                </c:pt>
                <c:pt idx="2">
                  <c:v>College Ave (Area)</c:v>
                </c:pt>
                <c:pt idx="3">
                  <c:v>College Ave (Decorative)</c:v>
                </c:pt>
              </c:strCache>
            </c:strRef>
          </c:cat>
          <c:val>
            <c:numRef>
              <c:f>'Maint_Summary (Ref)'!$G$8:$G$11</c:f>
              <c:numCache>
                <c:formatCode>_("$"* #,##0.00_);_("$"* \(#,##0.00\);_("$"* "-"??_);_(@_)</c:formatCode>
                <c:ptCount val="4"/>
                <c:pt idx="0">
                  <c:v>6345.9359144999999</c:v>
                </c:pt>
                <c:pt idx="1">
                  <c:v>222.76637062499998</c:v>
                </c:pt>
                <c:pt idx="2">
                  <c:v>790.99399802546304</c:v>
                </c:pt>
                <c:pt idx="3">
                  <c:v>1510.9371225</c:v>
                </c:pt>
              </c:numCache>
            </c:numRef>
          </c:val>
          <c:extLst>
            <c:ext xmlns:c16="http://schemas.microsoft.com/office/drawing/2014/chart" uri="{C3380CC4-5D6E-409C-BE32-E72D297353CC}">
              <c16:uniqueId val="{0000000A-B16B-490E-A4CB-AC42FA56C006}"/>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ax val="7200"/>
          <c:min val="0"/>
        </c:scaling>
        <c:delete val="0"/>
        <c:axPos val="l"/>
        <c:numFmt formatCode="&quot;$&quot;0,\k"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49818675009373831"/>
          <c:y val="4.485456775713182E-2"/>
          <c:w val="0.46353463629546304"/>
          <c:h val="0.10793403390564991"/>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Annual Energy cost savings (relative to base)</a:t>
            </a:r>
          </a:p>
        </c:rich>
      </c:tx>
      <c:layout>
        <c:manualLayout>
          <c:xMode val="edge"/>
          <c:yMode val="edge"/>
          <c:x val="0.18448503983509465"/>
          <c:y val="2.12499157413352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3183757479345359"/>
          <c:y val="9.9065170940170935E-2"/>
          <c:w val="0.83827606397692267"/>
          <c:h val="0.39655659028198392"/>
        </c:manualLayout>
      </c:layout>
      <c:barChart>
        <c:barDir val="col"/>
        <c:grouping val="clustered"/>
        <c:varyColors val="0"/>
        <c:ser>
          <c:idx val="0"/>
          <c:order val="0"/>
          <c:spPr>
            <a:solidFill>
              <a:schemeClr val="accent1"/>
            </a:solidFill>
            <a:ln>
              <a:noFill/>
            </a:ln>
            <a:effectLst/>
          </c:spPr>
          <c:invertIfNegative val="0"/>
          <c:dPt>
            <c:idx val="1"/>
            <c:invertIfNegative val="0"/>
            <c:bubble3D val="0"/>
            <c:spPr>
              <a:solidFill>
                <a:srgbClr val="EA734D"/>
              </a:solidFill>
              <a:ln>
                <a:noFill/>
              </a:ln>
              <a:effectLst/>
            </c:spPr>
            <c:extLst>
              <c:ext xmlns:c16="http://schemas.microsoft.com/office/drawing/2014/chart" uri="{C3380CC4-5D6E-409C-BE32-E72D297353CC}">
                <c16:uniqueId val="{00000001-49D2-4435-826C-16387D25ABD0}"/>
              </c:ext>
            </c:extLst>
          </c:dPt>
          <c:dPt>
            <c:idx val="2"/>
            <c:invertIfNegative val="0"/>
            <c:bubble3D val="0"/>
            <c:spPr>
              <a:solidFill>
                <a:srgbClr val="EA734D"/>
              </a:solidFill>
              <a:ln>
                <a:noFill/>
              </a:ln>
              <a:effectLst/>
            </c:spPr>
            <c:extLst>
              <c:ext xmlns:c16="http://schemas.microsoft.com/office/drawing/2014/chart" uri="{C3380CC4-5D6E-409C-BE32-E72D297353CC}">
                <c16:uniqueId val="{00000003-49D2-4435-826C-16387D25ABD0}"/>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5-49D2-4435-826C-16387D25ABD0}"/>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7-49D2-4435-826C-16387D25ABD0}"/>
              </c:ext>
            </c:extLst>
          </c:dPt>
          <c:dPt>
            <c:idx val="7"/>
            <c:invertIfNegative val="0"/>
            <c:bubble3D val="0"/>
            <c:spPr>
              <a:solidFill>
                <a:srgbClr val="00B050"/>
              </a:solidFill>
              <a:ln>
                <a:noFill/>
              </a:ln>
              <a:effectLst/>
            </c:spPr>
            <c:extLst>
              <c:ext xmlns:c16="http://schemas.microsoft.com/office/drawing/2014/chart" uri="{C3380CC4-5D6E-409C-BE32-E72D297353CC}">
                <c16:uniqueId val="{00000009-49D2-4435-826C-16387D25ABD0}"/>
              </c:ext>
            </c:extLst>
          </c:dPt>
          <c:dPt>
            <c:idx val="8"/>
            <c:invertIfNegative val="0"/>
            <c:bubble3D val="0"/>
            <c:spPr>
              <a:solidFill>
                <a:srgbClr val="00B050"/>
              </a:solidFill>
              <a:ln>
                <a:noFill/>
              </a:ln>
              <a:effectLst/>
            </c:spPr>
            <c:extLst>
              <c:ext xmlns:c16="http://schemas.microsoft.com/office/drawing/2014/chart" uri="{C3380CC4-5D6E-409C-BE32-E72D297353CC}">
                <c16:uniqueId val="{0000000B-49D2-4435-826C-16387D25ABD0}"/>
              </c:ext>
            </c:extLst>
          </c:dPt>
          <c:dPt>
            <c:idx val="10"/>
            <c:invertIfNegative val="0"/>
            <c:bubble3D val="0"/>
            <c:spPr>
              <a:solidFill>
                <a:srgbClr val="774D83"/>
              </a:solidFill>
              <a:ln>
                <a:noFill/>
              </a:ln>
              <a:effectLst/>
            </c:spPr>
            <c:extLst>
              <c:ext xmlns:c16="http://schemas.microsoft.com/office/drawing/2014/chart" uri="{C3380CC4-5D6E-409C-BE32-E72D297353CC}">
                <c16:uniqueId val="{0000000D-49D2-4435-826C-16387D25ABD0}"/>
              </c:ext>
            </c:extLst>
          </c:dPt>
          <c:dPt>
            <c:idx val="11"/>
            <c:invertIfNegative val="0"/>
            <c:bubble3D val="0"/>
            <c:spPr>
              <a:solidFill>
                <a:srgbClr val="774D83"/>
              </a:solidFill>
              <a:ln>
                <a:noFill/>
              </a:ln>
              <a:effectLst/>
            </c:spPr>
            <c:extLst>
              <c:ext xmlns:c16="http://schemas.microsoft.com/office/drawing/2014/chart" uri="{C3380CC4-5D6E-409C-BE32-E72D297353CC}">
                <c16:uniqueId val="{0000000F-49D2-4435-826C-16387D25ABD0}"/>
              </c:ext>
            </c:extLst>
          </c:dPt>
          <c:dLbls>
            <c:dLbl>
              <c:idx val="0"/>
              <c:delete val="1"/>
              <c:extLst>
                <c:ext xmlns:c15="http://schemas.microsoft.com/office/drawing/2012/chart" uri="{CE6537A1-D6FC-4f65-9D91-7224C49458BB}"/>
                <c:ext xmlns:c16="http://schemas.microsoft.com/office/drawing/2014/chart" uri="{C3380CC4-5D6E-409C-BE32-E72D297353CC}">
                  <c16:uniqueId val="{00000010-49D2-4435-826C-16387D25ABD0}"/>
                </c:ext>
              </c:extLst>
            </c:dLbl>
            <c:dLbl>
              <c:idx val="1"/>
              <c:layout>
                <c:manualLayout>
                  <c:x val="-5.5530583796962948E-3"/>
                  <c:y val="2.782694915436207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D2-4435-826C-16387D25ABD0}"/>
                </c:ext>
              </c:extLst>
            </c:dLbl>
            <c:dLbl>
              <c:idx val="2"/>
              <c:layout>
                <c:manualLayout>
                  <c:x val="-5.5530583796962697E-3"/>
                  <c:y val="-1.21428089950487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D2-4435-826C-16387D25ABD0}"/>
                </c:ext>
              </c:extLst>
            </c:dLbl>
            <c:dLbl>
              <c:idx val="3"/>
              <c:delete val="1"/>
              <c:extLst>
                <c:ext xmlns:c15="http://schemas.microsoft.com/office/drawing/2012/chart" uri="{CE6537A1-D6FC-4f65-9D91-7224C49458BB}"/>
                <c:ext xmlns:c16="http://schemas.microsoft.com/office/drawing/2014/chart" uri="{C3380CC4-5D6E-409C-BE32-E72D297353CC}">
                  <c16:uniqueId val="{00000011-49D2-4435-826C-16387D25ABD0}"/>
                </c:ext>
              </c:extLst>
            </c:dLbl>
            <c:dLbl>
              <c:idx val="4"/>
              <c:layout>
                <c:manualLayout>
                  <c:x val="-1.3882645949240675E-2"/>
                  <c:y val="-1.1130779661744828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D2-4435-826C-16387D25ABD0}"/>
                </c:ext>
              </c:extLst>
            </c:dLbl>
            <c:dLbl>
              <c:idx val="6"/>
              <c:delete val="1"/>
              <c:extLst>
                <c:ext xmlns:c15="http://schemas.microsoft.com/office/drawing/2012/chart" uri="{CE6537A1-D6FC-4f65-9D91-7224C49458BB}"/>
                <c:ext xmlns:c16="http://schemas.microsoft.com/office/drawing/2014/chart" uri="{C3380CC4-5D6E-409C-BE32-E72D297353CC}">
                  <c16:uniqueId val="{00000012-49D2-4435-826C-16387D25ABD0}"/>
                </c:ext>
              </c:extLst>
            </c:dLbl>
            <c:dLbl>
              <c:idx val="9"/>
              <c:delete val="1"/>
              <c:extLst>
                <c:ext xmlns:c15="http://schemas.microsoft.com/office/drawing/2012/chart" uri="{CE6537A1-D6FC-4f65-9D91-7224C49458BB}"/>
                <c:ext xmlns:c16="http://schemas.microsoft.com/office/drawing/2014/chart" uri="{C3380CC4-5D6E-409C-BE32-E72D297353CC}">
                  <c16:uniqueId val="{00000013-49D2-4435-826C-16387D25ABD0}"/>
                </c:ext>
              </c:extLst>
            </c:dLbl>
            <c:dLbl>
              <c:idx val="10"/>
              <c:layout>
                <c:manualLayout>
                  <c:x val="-1.1106116759392742E-2"/>
                  <c:y val="-9.10710674628663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9D2-4435-826C-16387D25ABD0}"/>
                </c:ext>
              </c:extLst>
            </c:dLbl>
            <c:dLbl>
              <c:idx val="11"/>
              <c:layout>
                <c:manualLayout>
                  <c:x val="-1.110611675939253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9D2-4435-826C-16387D25ABD0}"/>
                </c:ext>
              </c:extLst>
            </c:dLbl>
            <c:numFmt formatCode="&quot;$&quot;\ 0.0,\k"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Energy!$A$24:$A$35</c:f>
              <c:strCache>
                <c:ptCount val="12"/>
                <c:pt idx="0">
                  <c:v>Model High School - Base Case</c:v>
                </c:pt>
                <c:pt idx="1">
                  <c:v>Model High School - Retrofit 1 (50% dim)</c:v>
                </c:pt>
                <c:pt idx="2">
                  <c:v>Model High School - Retrofit 2 (80% dim)</c:v>
                </c:pt>
                <c:pt idx="3">
                  <c:v>College Ave (Roadway) - Base Case</c:v>
                </c:pt>
                <c:pt idx="4">
                  <c:v>College Ave (Roadway) - Retrofit 1 (50% dim)</c:v>
                </c:pt>
                <c:pt idx="5">
                  <c:v>College Ave (Roadway) - Retrofit 2 (80% dim)</c:v>
                </c:pt>
                <c:pt idx="6">
                  <c:v>College Ave (Area) - Base Case</c:v>
                </c:pt>
                <c:pt idx="7">
                  <c:v>College Ave (Area) - Retrofit 1 (50% dim)</c:v>
                </c:pt>
                <c:pt idx="8">
                  <c:v>College Ave (Area) - Retrofit 2 (80% dim)</c:v>
                </c:pt>
                <c:pt idx="9">
                  <c:v>College Ave (Decorative) - Base Case</c:v>
                </c:pt>
                <c:pt idx="10">
                  <c:v>College Ave (Decorative) - Retrofit 1 (50% dim)</c:v>
                </c:pt>
                <c:pt idx="11">
                  <c:v>College Ave (Decorative) - Retrofit 2 (80% dim)</c:v>
                </c:pt>
              </c:strCache>
            </c:strRef>
          </c:cat>
          <c:val>
            <c:numRef>
              <c:f>Energy!$L$9:$L$20</c:f>
              <c:numCache>
                <c:formatCode>_("$"* #,##0.00_);_("$"* \(#,##0.00\);_("$"* "-"??_);_(@_)</c:formatCode>
                <c:ptCount val="12"/>
                <c:pt idx="0">
                  <c:v>0</c:v>
                </c:pt>
                <c:pt idx="1">
                  <c:v>7792.1972869134697</c:v>
                </c:pt>
                <c:pt idx="2">
                  <c:v>9537.5778635223942</c:v>
                </c:pt>
                <c:pt idx="3">
                  <c:v>0</c:v>
                </c:pt>
                <c:pt idx="4">
                  <c:v>673.51171926283337</c:v>
                </c:pt>
                <c:pt idx="5">
                  <c:v>820.72285005026652</c:v>
                </c:pt>
                <c:pt idx="6">
                  <c:v>0</c:v>
                </c:pt>
                <c:pt idx="7">
                  <c:v>2033.8008352611109</c:v>
                </c:pt>
                <c:pt idx="8">
                  <c:v>2013.0280275527498</c:v>
                </c:pt>
                <c:pt idx="9">
                  <c:v>0</c:v>
                </c:pt>
                <c:pt idx="10">
                  <c:v>1514.9396725194447</c:v>
                </c:pt>
                <c:pt idx="11">
                  <c:v>1779.1265646972224</c:v>
                </c:pt>
              </c:numCache>
            </c:numRef>
          </c:val>
          <c:extLst>
            <c:ext xmlns:c16="http://schemas.microsoft.com/office/drawing/2014/chart" uri="{C3380CC4-5D6E-409C-BE32-E72D297353CC}">
              <c16:uniqueId val="{00000014-49D2-4435-826C-16387D25ABD0}"/>
            </c:ext>
          </c:extLst>
        </c:ser>
        <c:dLbls>
          <c:showLegendKey val="0"/>
          <c:showVal val="0"/>
          <c:showCatName val="0"/>
          <c:showSerName val="0"/>
          <c:showPercent val="0"/>
          <c:showBubbleSize val="0"/>
        </c:dLbls>
        <c:gapWidth val="100"/>
        <c:axId val="646289280"/>
        <c:axId val="646289696"/>
      </c:barChart>
      <c:catAx>
        <c:axId val="646289280"/>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5400000" spcFirstLastPara="1" vertOverflow="ellipsis" wrap="square" anchor="ctr" anchorCtr="1"/>
          <a:lstStyle/>
          <a:p>
            <a:pPr>
              <a:defRPr sz="900" b="0" i="0" u="none" strike="noStrike" kern="1200" baseline="0">
                <a:solidFill>
                  <a:schemeClr val="tx1"/>
                </a:solidFill>
                <a:latin typeface="+mn-lt"/>
                <a:ea typeface="+mn-ea"/>
                <a:cs typeface="+mn-cs"/>
              </a:defRPr>
            </a:pPr>
            <a:endParaRPr lang="en-US"/>
          </a:p>
        </c:txPr>
        <c:crossAx val="646289696"/>
        <c:crosses val="autoZero"/>
        <c:auto val="1"/>
        <c:lblAlgn val="ctr"/>
        <c:lblOffset val="100"/>
        <c:noMultiLvlLbl val="0"/>
      </c:catAx>
      <c:valAx>
        <c:axId val="646289696"/>
        <c:scaling>
          <c:orientation val="minMax"/>
          <c:max val="11000"/>
          <c:min val="0"/>
        </c:scaling>
        <c:delete val="0"/>
        <c:axPos val="l"/>
        <c:majorGridlines>
          <c:spPr>
            <a:ln w="9525" cap="flat" cmpd="sng" algn="ctr">
              <a:solidFill>
                <a:schemeClr val="tx1">
                  <a:lumMod val="50000"/>
                  <a:lumOff val="50000"/>
                </a:schemeClr>
              </a:solidFill>
              <a:prstDash val="dash"/>
              <a:round/>
            </a:ln>
            <a:effectLst/>
          </c:spPr>
        </c:majorGridlines>
        <c:numFmt formatCode="_(&quot;$&quot;* #,##0_);_(&quot;$&quot;* \(#,##0\);_(&quot;$&quot;* &quot;-&quot;_);_(@_)" sourceLinked="0"/>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46289280"/>
        <c:crosses val="autoZero"/>
        <c:crossBetween val="between"/>
        <c:majorUnit val="2000"/>
      </c:valAx>
      <c:spPr>
        <a:noFill/>
        <a:ln w="12700">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Controls Rebate</a:t>
            </a:r>
          </a:p>
        </c:rich>
      </c:tx>
      <c:layout>
        <c:manualLayout>
          <c:xMode val="edge"/>
          <c:yMode val="edge"/>
          <c:x val="0.13455739778702169"/>
          <c:y val="2.428561799009739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9.9751187473726577E-2"/>
          <c:y val="0.10302777777777777"/>
          <c:w val="0.87529073833915716"/>
          <c:h val="0.39741885389326331"/>
        </c:manualLayout>
      </c:layout>
      <c:barChart>
        <c:barDir val="col"/>
        <c:grouping val="clustered"/>
        <c:varyColors val="0"/>
        <c:ser>
          <c:idx val="0"/>
          <c:order val="0"/>
          <c:tx>
            <c:strRef>
              <c:f>Rebates!$G$6</c:f>
              <c:strCache>
                <c:ptCount val="1"/>
                <c:pt idx="0">
                  <c:v>Xcel Rebate</c:v>
                </c:pt>
              </c:strCache>
            </c:strRef>
          </c:tx>
          <c:spPr>
            <a:solidFill>
              <a:schemeClr val="accent5">
                <a:lumMod val="60000"/>
                <a:lumOff val="40000"/>
              </a:schemeClr>
            </a:solidFill>
            <a:ln w="12700">
              <a:solidFill>
                <a:schemeClr val="tx1"/>
              </a:solidFill>
            </a:ln>
            <a:effectLst/>
          </c:spPr>
          <c:invertIfNegative val="0"/>
          <c:dPt>
            <c:idx val="1"/>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1-D6FB-4769-8CB0-961C4512696A}"/>
              </c:ext>
            </c:extLst>
          </c:dPt>
          <c:dPt>
            <c:idx val="2"/>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3-D6FB-4769-8CB0-961C4512696A}"/>
              </c:ext>
            </c:extLst>
          </c:dPt>
          <c:dPt>
            <c:idx val="4"/>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5-D6FB-4769-8CB0-961C4512696A}"/>
              </c:ext>
            </c:extLst>
          </c:dPt>
          <c:dPt>
            <c:idx val="5"/>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7-D6FB-4769-8CB0-961C4512696A}"/>
              </c:ext>
            </c:extLst>
          </c:dPt>
          <c:dPt>
            <c:idx val="7"/>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9-D6FB-4769-8CB0-961C4512696A}"/>
              </c:ext>
            </c:extLst>
          </c:dPt>
          <c:dPt>
            <c:idx val="8"/>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B-D6FB-4769-8CB0-961C4512696A}"/>
              </c:ext>
            </c:extLst>
          </c:dPt>
          <c:dPt>
            <c:idx val="10"/>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D-D6FB-4769-8CB0-961C4512696A}"/>
              </c:ext>
            </c:extLst>
          </c:dPt>
          <c:dPt>
            <c:idx val="11"/>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F-D6FB-4769-8CB0-961C4512696A}"/>
              </c:ext>
            </c:extLst>
          </c:dPt>
          <c:dLbls>
            <c:dLbl>
              <c:idx val="0"/>
              <c:layout>
                <c:manualLayout>
                  <c:x val="-9.6831465324750295E-3"/>
                  <c:y val="-4.55355337314331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6FB-4769-8CB0-961C4512696A}"/>
                </c:ext>
              </c:extLst>
            </c:dLbl>
            <c:dLbl>
              <c:idx val="1"/>
              <c:layout>
                <c:manualLayout>
                  <c:x val="-1.3852579474200457E-2"/>
                  <c:y val="6.07140449752434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FB-4769-8CB0-961C4512696A}"/>
                </c:ext>
              </c:extLst>
            </c:dLbl>
            <c:dLbl>
              <c:idx val="2"/>
              <c:layout>
                <c:manualLayout>
                  <c:x val="-1.2449759827467896E-2"/>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FB-4769-8CB0-961C4512696A}"/>
                </c:ext>
              </c:extLst>
            </c:dLbl>
            <c:dLbl>
              <c:idx val="3"/>
              <c:layout>
                <c:manualLayout>
                  <c:x val="-1.2449759827467844E-2"/>
                  <c:y val="1.2142808995048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6FB-4769-8CB0-961C4512696A}"/>
                </c:ext>
              </c:extLst>
            </c:dLbl>
            <c:dLbl>
              <c:idx val="4"/>
              <c:layout>
                <c:manualLayout>
                  <c:x val="-1.3852579474200533E-2"/>
                  <c:y val="6.07140449752434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FB-4769-8CB0-961C4512696A}"/>
                </c:ext>
              </c:extLst>
            </c:dLbl>
            <c:dLbl>
              <c:idx val="5"/>
              <c:layout>
                <c:manualLayout>
                  <c:x val="-1.383306647496443E-2"/>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6FB-4769-8CB0-961C4512696A}"/>
                </c:ext>
              </c:extLst>
            </c:dLbl>
            <c:dLbl>
              <c:idx val="6"/>
              <c:layout>
                <c:manualLayout>
                  <c:x val="-1.315365447174893E-3"/>
                  <c:y val="-5.1606938228956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6FB-4769-8CB0-961C4512696A}"/>
                </c:ext>
              </c:extLst>
            </c:dLbl>
            <c:dLbl>
              <c:idx val="7"/>
              <c:layout>
                <c:manualLayout>
                  <c:x val="-1.2958411768615899E-3"/>
                  <c:y val="-6.0714044975243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FB-4769-8CB0-961C4512696A}"/>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Rebates!$F$20:$F$28</c:f>
              <c:strCache>
                <c:ptCount val="8"/>
                <c:pt idx="0">
                  <c:v>Model High School - Retrofit 1 (50% dim)</c:v>
                </c:pt>
                <c:pt idx="1">
                  <c:v>Model High School - Retrofit 2 (80% dim)</c:v>
                </c:pt>
                <c:pt idx="2">
                  <c:v>College Ave (Roadway) - Retrofit 1 (50% dim)</c:v>
                </c:pt>
                <c:pt idx="3">
                  <c:v>College Ave (Roadway) - Retrofit 2 (80% dim)</c:v>
                </c:pt>
                <c:pt idx="4">
                  <c:v>College Ave (Area) - Retrofit 1 (50% dim)</c:v>
                </c:pt>
                <c:pt idx="5">
                  <c:v>College Ave (Area) - Retrofit 2 (80% dim)</c:v>
                </c:pt>
                <c:pt idx="6">
                  <c:v>College Ave (Decorative) - Retrofit 1 (50% dim)</c:v>
                </c:pt>
                <c:pt idx="7">
                  <c:v>College Ave (Decorative) - Retrofit 2 (80% dim)</c:v>
                </c:pt>
              </c:strCache>
            </c:strRef>
          </c:cat>
          <c:val>
            <c:numRef>
              <c:f>Rebates!$H$8:$H$15</c:f>
              <c:numCache>
                <c:formatCode>"$"#,##0_);[Red]\("$"#,##0\)</c:formatCode>
                <c:ptCount val="8"/>
                <c:pt idx="0">
                  <c:v>4939.2000000000007</c:v>
                </c:pt>
                <c:pt idx="1">
                  <c:v>3922.3999999999996</c:v>
                </c:pt>
                <c:pt idx="2">
                  <c:v>669.6</c:v>
                </c:pt>
                <c:pt idx="3">
                  <c:v>595.20000000000005</c:v>
                </c:pt>
                <c:pt idx="4">
                  <c:v>640.00000000000011</c:v>
                </c:pt>
                <c:pt idx="5">
                  <c:v>738</c:v>
                </c:pt>
                <c:pt idx="6">
                  <c:v>1248.0000000000002</c:v>
                </c:pt>
                <c:pt idx="7">
                  <c:v>1119.9999999999998</c:v>
                </c:pt>
              </c:numCache>
            </c:numRef>
          </c:val>
          <c:extLst>
            <c:ext xmlns:c16="http://schemas.microsoft.com/office/drawing/2014/chart" uri="{C3380CC4-5D6E-409C-BE32-E72D297353CC}">
              <c16:uniqueId val="{00000013-D6FB-4769-8CB0-961C4512696A}"/>
            </c:ext>
          </c:extLst>
        </c:ser>
        <c:ser>
          <c:idx val="1"/>
          <c:order val="1"/>
          <c:tx>
            <c:strRef>
              <c:f>Rebates!$K$6</c:f>
              <c:strCache>
                <c:ptCount val="1"/>
                <c:pt idx="0">
                  <c:v>Fort Collins Utility Rebate</c:v>
                </c:pt>
              </c:strCache>
            </c:strRef>
          </c:tx>
          <c:spPr>
            <a:solidFill>
              <a:schemeClr val="accent6">
                <a:lumMod val="60000"/>
                <a:lumOff val="40000"/>
              </a:schemeClr>
            </a:solidFill>
            <a:ln>
              <a:solidFill>
                <a:sysClr val="windowText" lastClr="000000"/>
              </a:solidFill>
            </a:ln>
            <a:effectLst/>
          </c:spPr>
          <c:invertIfNegative val="0"/>
          <c:dLbls>
            <c:dLbl>
              <c:idx val="0"/>
              <c:layout>
                <c:manualLayout>
                  <c:x val="-1.3833713325358363E-3"/>
                  <c:y val="6.071404497524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6FB-4769-8CB0-961C4512696A}"/>
                </c:ext>
              </c:extLst>
            </c:dLbl>
            <c:dLbl>
              <c:idx val="1"/>
              <c:layout>
                <c:manualLayout>
                  <c:x val="0"/>
                  <c:y val="6.07140449752434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6FB-4769-8CB0-961C4512696A}"/>
                </c:ext>
              </c:extLst>
            </c:dLbl>
            <c:dLbl>
              <c:idx val="2"/>
              <c:layout>
                <c:manualLayout>
                  <c:x val="-5.1076948583353963E-17"/>
                  <c:y val="-4.2499831482670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6FB-4769-8CB0-961C4512696A}"/>
                </c:ext>
              </c:extLst>
            </c:dLbl>
            <c:dLbl>
              <c:idx val="3"/>
              <c:layout>
                <c:manualLayout>
                  <c:x val="0"/>
                  <c:y val="-3.3392724736383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6FB-4769-8CB0-961C4512696A}"/>
                </c:ext>
              </c:extLst>
            </c:dLbl>
            <c:dLbl>
              <c:idx val="4"/>
              <c:layout>
                <c:manualLayout>
                  <c:x val="-1.0215389716670793E-16"/>
                  <c:y val="6.07140449752429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6FB-4769-8CB0-961C4512696A}"/>
                </c:ext>
              </c:extLst>
            </c:dLbl>
            <c:dLbl>
              <c:idx val="5"/>
              <c:layout>
                <c:manualLayout>
                  <c:x val="9.6524482447790681E-6"/>
                  <c:y val="1.51785112438103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6FB-4769-8CB0-961C4512696A}"/>
                </c:ext>
              </c:extLst>
            </c:dLbl>
            <c:dLbl>
              <c:idx val="6"/>
              <c:layout>
                <c:manualLayout>
                  <c:x val="1.3833713325358363E-3"/>
                  <c:y val="4.55355337314326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D6FB-4769-8CB0-961C4512696A}"/>
                </c:ext>
              </c:extLst>
            </c:dLbl>
            <c:dLbl>
              <c:idx val="7"/>
              <c:layout>
                <c:manualLayout>
                  <c:x val="-1.0215389716670793E-16"/>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6FB-4769-8CB0-961C4512696A}"/>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Rebates!$F$20:$F$28</c:f>
              <c:strCache>
                <c:ptCount val="8"/>
                <c:pt idx="0">
                  <c:v>Model High School - Retrofit 1 (50% dim)</c:v>
                </c:pt>
                <c:pt idx="1">
                  <c:v>Model High School - Retrofit 2 (80% dim)</c:v>
                </c:pt>
                <c:pt idx="2">
                  <c:v>College Ave (Roadway) - Retrofit 1 (50% dim)</c:v>
                </c:pt>
                <c:pt idx="3">
                  <c:v>College Ave (Roadway) - Retrofit 2 (80% dim)</c:v>
                </c:pt>
                <c:pt idx="4">
                  <c:v>College Ave (Area) - Retrofit 1 (50% dim)</c:v>
                </c:pt>
                <c:pt idx="5">
                  <c:v>College Ave (Area) - Retrofit 2 (80% dim)</c:v>
                </c:pt>
                <c:pt idx="6">
                  <c:v>College Ave (Decorative) - Retrofit 1 (50% dim)</c:v>
                </c:pt>
                <c:pt idx="7">
                  <c:v>College Ave (Decorative) - Retrofit 2 (80% dim)</c:v>
                </c:pt>
              </c:strCache>
            </c:strRef>
          </c:cat>
          <c:val>
            <c:numRef>
              <c:f>Rebates!$L$8:$L$15</c:f>
              <c:numCache>
                <c:formatCode>"$"#,##0_);[Red]\("$"#,##0\)</c:formatCode>
                <c:ptCount val="8"/>
                <c:pt idx="0">
                  <c:v>6174</c:v>
                </c:pt>
                <c:pt idx="1">
                  <c:v>4903</c:v>
                </c:pt>
                <c:pt idx="2">
                  <c:v>837</c:v>
                </c:pt>
                <c:pt idx="3">
                  <c:v>744</c:v>
                </c:pt>
                <c:pt idx="4">
                  <c:v>800</c:v>
                </c:pt>
                <c:pt idx="5">
                  <c:v>922.5</c:v>
                </c:pt>
                <c:pt idx="6">
                  <c:v>1560</c:v>
                </c:pt>
                <c:pt idx="7">
                  <c:v>1400</c:v>
                </c:pt>
              </c:numCache>
            </c:numRef>
          </c:val>
          <c:extLst>
            <c:ext xmlns:c16="http://schemas.microsoft.com/office/drawing/2014/chart" uri="{C3380CC4-5D6E-409C-BE32-E72D297353CC}">
              <c16:uniqueId val="{0000001C-D6FB-4769-8CB0-961C4512696A}"/>
            </c:ext>
          </c:extLst>
        </c:ser>
        <c:dLbls>
          <c:showLegendKey val="0"/>
          <c:showVal val="0"/>
          <c:showCatName val="0"/>
          <c:showSerName val="0"/>
          <c:showPercent val="0"/>
          <c:showBubbleSize val="0"/>
        </c:dLbls>
        <c:gapWidth val="100"/>
        <c:overlap val="-10"/>
        <c:axId val="646289280"/>
        <c:axId val="646289696"/>
      </c:barChart>
      <c:catAx>
        <c:axId val="646289280"/>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5400000" spcFirstLastPara="1" vertOverflow="ellipsis" wrap="square" anchor="ctr" anchorCtr="1"/>
          <a:lstStyle/>
          <a:p>
            <a:pPr>
              <a:defRPr sz="900" b="0" i="0" u="none" strike="noStrike" kern="1200" baseline="0">
                <a:solidFill>
                  <a:schemeClr val="tx1"/>
                </a:solidFill>
                <a:latin typeface="+mn-lt"/>
                <a:ea typeface="+mn-ea"/>
                <a:cs typeface="+mn-cs"/>
              </a:defRPr>
            </a:pPr>
            <a:endParaRPr lang="en-US"/>
          </a:p>
        </c:txPr>
        <c:crossAx val="646289696"/>
        <c:crosses val="autoZero"/>
        <c:auto val="1"/>
        <c:lblAlgn val="ctr"/>
        <c:lblOffset val="100"/>
        <c:noMultiLvlLbl val="0"/>
      </c:catAx>
      <c:valAx>
        <c:axId val="646289696"/>
        <c:scaling>
          <c:orientation val="minMax"/>
          <c:min val="0"/>
        </c:scaling>
        <c:delete val="0"/>
        <c:axPos val="l"/>
        <c:majorGridlines>
          <c:spPr>
            <a:ln w="9525" cap="flat" cmpd="sng" algn="ctr">
              <a:solidFill>
                <a:schemeClr val="tx1">
                  <a:lumMod val="50000"/>
                  <a:lumOff val="50000"/>
                </a:schemeClr>
              </a:solidFill>
              <a:prstDash val="dash"/>
              <a:round/>
            </a:ln>
            <a:effectLst/>
          </c:spPr>
        </c:majorGridlines>
        <c:numFmt formatCode="_(&quot;$&quot;* #,##0_);_(&quot;$&quot;* \(#,##0\);_(&quot;$&quot;* &quot;-&quot;_);_(@_)" sourceLinked="0"/>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46289280"/>
        <c:crosses val="autoZero"/>
        <c:crossBetween val="between"/>
        <c:majorUnit val="2000"/>
      </c:valAx>
      <c:spPr>
        <a:noFill/>
        <a:ln w="12700">
          <a:solidFill>
            <a:schemeClr val="tx1"/>
          </a:solidFill>
        </a:ln>
        <a:effectLst/>
      </c:spPr>
    </c:plotArea>
    <c:legend>
      <c:legendPos val="r"/>
      <c:layout>
        <c:manualLayout>
          <c:xMode val="edge"/>
          <c:yMode val="edge"/>
          <c:x val="0.48132867807940638"/>
          <c:y val="2.9981742760806264E-2"/>
          <c:w val="0.49093374300499759"/>
          <c:h val="6.2991538756834498E-2"/>
        </c:manualLayout>
      </c:layout>
      <c:overlay val="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Fixture Rebate</a:t>
            </a:r>
          </a:p>
        </c:rich>
      </c:tx>
      <c:layout>
        <c:manualLayout>
          <c:xMode val="edge"/>
          <c:yMode val="edge"/>
          <c:x val="0.13455739778702169"/>
          <c:y val="2.428561799009739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0990229567533616"/>
          <c:y val="9.9224184055644732E-2"/>
          <c:w val="0.86518386838931782"/>
          <c:h val="0.41966502782657783"/>
        </c:manualLayout>
      </c:layout>
      <c:barChart>
        <c:barDir val="col"/>
        <c:grouping val="clustered"/>
        <c:varyColors val="0"/>
        <c:ser>
          <c:idx val="0"/>
          <c:order val="0"/>
          <c:tx>
            <c:strRef>
              <c:f>Rebates!$G$6</c:f>
              <c:strCache>
                <c:ptCount val="1"/>
                <c:pt idx="0">
                  <c:v>Xcel Rebate</c:v>
                </c:pt>
              </c:strCache>
            </c:strRef>
          </c:tx>
          <c:spPr>
            <a:solidFill>
              <a:schemeClr val="accent1"/>
            </a:solidFill>
            <a:ln>
              <a:noFill/>
            </a:ln>
            <a:effectLst/>
          </c:spPr>
          <c:invertIfNegative val="0"/>
          <c:dPt>
            <c:idx val="1"/>
            <c:invertIfNegative val="0"/>
            <c:bubble3D val="0"/>
            <c:spPr>
              <a:solidFill>
                <a:schemeClr val="accent1"/>
              </a:solidFill>
              <a:ln>
                <a:noFill/>
              </a:ln>
              <a:effectLst/>
            </c:spPr>
            <c:extLst>
              <c:ext xmlns:c16="http://schemas.microsoft.com/office/drawing/2014/chart" uri="{C3380CC4-5D6E-409C-BE32-E72D297353CC}">
                <c16:uniqueId val="{00000001-4E89-4EE3-B1B2-589F0812E893}"/>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3-4E89-4EE3-B1B2-589F0812E893}"/>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5-4E89-4EE3-B1B2-589F0812E893}"/>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7-4E89-4EE3-B1B2-589F0812E893}"/>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9-4E89-4EE3-B1B2-589F0812E893}"/>
              </c:ext>
            </c:extLst>
          </c:dPt>
          <c:dPt>
            <c:idx val="8"/>
            <c:invertIfNegative val="0"/>
            <c:bubble3D val="0"/>
            <c:spPr>
              <a:solidFill>
                <a:schemeClr val="accent1"/>
              </a:solidFill>
              <a:ln>
                <a:noFill/>
              </a:ln>
              <a:effectLst/>
            </c:spPr>
            <c:extLst>
              <c:ext xmlns:c16="http://schemas.microsoft.com/office/drawing/2014/chart" uri="{C3380CC4-5D6E-409C-BE32-E72D297353CC}">
                <c16:uniqueId val="{0000000B-4E89-4EE3-B1B2-589F0812E893}"/>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D-4E89-4EE3-B1B2-589F0812E893}"/>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F-4E89-4EE3-B1B2-589F0812E893}"/>
              </c:ext>
            </c:extLst>
          </c:dPt>
          <c:dLbls>
            <c:dLbl>
              <c:idx val="0"/>
              <c:layout>
                <c:manualLayout>
                  <c:x val="-9.6831465324750295E-3"/>
                  <c:y val="-4.55355337314331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89-4EE3-B1B2-589F0812E893}"/>
                </c:ext>
              </c:extLst>
            </c:dLbl>
            <c:dLbl>
              <c:idx val="1"/>
              <c:layout>
                <c:manualLayout>
                  <c:x val="-1.1066453179971462E-2"/>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89-4EE3-B1B2-589F0812E893}"/>
                </c:ext>
              </c:extLst>
            </c:dLbl>
            <c:dLbl>
              <c:idx val="2"/>
              <c:layout>
                <c:manualLayout>
                  <c:x val="-1.2449759827467896E-2"/>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89-4EE3-B1B2-589F0812E893}"/>
                </c:ext>
              </c:extLst>
            </c:dLbl>
            <c:dLbl>
              <c:idx val="3"/>
              <c:layout>
                <c:manualLayout>
                  <c:x val="-1.2449759827467844E-2"/>
                  <c:y val="1.2142808995048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89-4EE3-B1B2-589F0812E893}"/>
                </c:ext>
              </c:extLst>
            </c:dLbl>
            <c:dLbl>
              <c:idx val="4"/>
              <c:layout>
                <c:manualLayout>
                  <c:x val="-1.1066453179971462E-2"/>
                  <c:y val="6.07140449752434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89-4EE3-B1B2-589F0812E893}"/>
                </c:ext>
              </c:extLst>
            </c:dLbl>
            <c:dLbl>
              <c:idx val="5"/>
              <c:layout>
                <c:manualLayout>
                  <c:x val="-1.383306647496443E-2"/>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89-4EE3-B1B2-589F0812E893}"/>
                </c:ext>
              </c:extLst>
            </c:dLbl>
            <c:dLbl>
              <c:idx val="6"/>
              <c:layout>
                <c:manualLayout>
                  <c:x val="-1.1066453179971564E-2"/>
                  <c:y val="1.3660660119429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89-4EE3-B1B2-589F0812E893}"/>
                </c:ext>
              </c:extLst>
            </c:dLbl>
            <c:dLbl>
              <c:idx val="7"/>
              <c:layout>
                <c:manualLayout>
                  <c:x val="-1.3833066474964328E-2"/>
                  <c:y val="1.2142808995048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89-4EE3-B1B2-589F0812E893}"/>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Rebates!$F$20:$F$28</c:f>
              <c:strCache>
                <c:ptCount val="8"/>
                <c:pt idx="0">
                  <c:v>Model High School - Retrofit 1 (50% dim)</c:v>
                </c:pt>
                <c:pt idx="1">
                  <c:v>Model High School - Retrofit 2 (80% dim)</c:v>
                </c:pt>
                <c:pt idx="2">
                  <c:v>College Ave (Roadway) - Retrofit 1 (50% dim)</c:v>
                </c:pt>
                <c:pt idx="3">
                  <c:v>College Ave (Roadway) - Retrofit 2 (80% dim)</c:v>
                </c:pt>
                <c:pt idx="4">
                  <c:v>College Ave (Area) - Retrofit 1 (50% dim)</c:v>
                </c:pt>
                <c:pt idx="5">
                  <c:v>College Ave (Area) - Retrofit 2 (80% dim)</c:v>
                </c:pt>
                <c:pt idx="6">
                  <c:v>College Ave (Decorative) - Retrofit 1 (50% dim)</c:v>
                </c:pt>
                <c:pt idx="7">
                  <c:v>College Ave (Decorative) - Retrofit 2 (80% dim)</c:v>
                </c:pt>
              </c:strCache>
            </c:strRef>
          </c:cat>
          <c:val>
            <c:numRef>
              <c:f>Rebates!$G$8:$G$15</c:f>
              <c:numCache>
                <c:formatCode>"$"#,##0_);[Red]\("$"#,##0\)</c:formatCode>
                <c:ptCount val="8"/>
                <c:pt idx="0">
                  <c:v>5305</c:v>
                </c:pt>
                <c:pt idx="1">
                  <c:v>4155</c:v>
                </c:pt>
                <c:pt idx="2">
                  <c:v>300</c:v>
                </c:pt>
                <c:pt idx="3">
                  <c:v>300</c:v>
                </c:pt>
                <c:pt idx="4">
                  <c:v>250</c:v>
                </c:pt>
                <c:pt idx="5">
                  <c:v>250</c:v>
                </c:pt>
                <c:pt idx="6">
                  <c:v>1000</c:v>
                </c:pt>
                <c:pt idx="7">
                  <c:v>1000</c:v>
                </c:pt>
              </c:numCache>
            </c:numRef>
          </c:val>
          <c:extLst>
            <c:ext xmlns:c16="http://schemas.microsoft.com/office/drawing/2014/chart" uri="{C3380CC4-5D6E-409C-BE32-E72D297353CC}">
              <c16:uniqueId val="{00000013-4E89-4EE3-B1B2-589F0812E893}"/>
            </c:ext>
          </c:extLst>
        </c:ser>
        <c:ser>
          <c:idx val="1"/>
          <c:order val="1"/>
          <c:tx>
            <c:strRef>
              <c:f>Rebates!$K$6</c:f>
              <c:strCache>
                <c:ptCount val="1"/>
                <c:pt idx="0">
                  <c:v>Fort Collins Utility Rebate</c:v>
                </c:pt>
              </c:strCache>
            </c:strRef>
          </c:tx>
          <c:spPr>
            <a:solidFill>
              <a:schemeClr val="accent2"/>
            </a:solidFill>
            <a:ln>
              <a:noFill/>
            </a:ln>
            <a:effectLst/>
          </c:spPr>
          <c:invertIfNegative val="0"/>
          <c:dLbls>
            <c:dLbl>
              <c:idx val="0"/>
              <c:layout>
                <c:manualLayout>
                  <c:x val="-1.3833066474964581E-3"/>
                  <c:y val="1.0624957870667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E89-4EE3-B1B2-589F0812E893}"/>
                </c:ext>
              </c:extLst>
            </c:dLbl>
            <c:dLbl>
              <c:idx val="1"/>
              <c:layout>
                <c:manualLayout>
                  <c:x val="0"/>
                  <c:y val="6.07140449752434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E89-4EE3-B1B2-589F0812E893}"/>
                </c:ext>
              </c:extLst>
            </c:dLbl>
            <c:dLbl>
              <c:idx val="2"/>
              <c:layout>
                <c:manualLayout>
                  <c:x val="0"/>
                  <c:y val="-1.51785112438119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E89-4EE3-B1B2-589F0812E893}"/>
                </c:ext>
              </c:extLst>
            </c:dLbl>
            <c:dLbl>
              <c:idx val="4"/>
              <c:layout>
                <c:manualLayout>
                  <c:x val="-1.0144131562433732E-16"/>
                  <c:y val="1.06249578706675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E89-4EE3-B1B2-589F0812E893}"/>
                </c:ext>
              </c:extLst>
            </c:dLbl>
            <c:dLbl>
              <c:idx val="5"/>
              <c:layout>
                <c:manualLayout>
                  <c:x val="-1.3833066474964327E-3"/>
                  <c:y val="6.07140449752434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E89-4EE3-B1B2-589F0812E893}"/>
                </c:ext>
              </c:extLst>
            </c:dLbl>
            <c:dLbl>
              <c:idx val="6"/>
              <c:layout>
                <c:manualLayout>
                  <c:x val="1.3833066474964327E-3"/>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E89-4EE3-B1B2-589F0812E893}"/>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Rebates!$F$20:$F$28</c:f>
              <c:strCache>
                <c:ptCount val="8"/>
                <c:pt idx="0">
                  <c:v>Model High School - Retrofit 1 (50% dim)</c:v>
                </c:pt>
                <c:pt idx="1">
                  <c:v>Model High School - Retrofit 2 (80% dim)</c:v>
                </c:pt>
                <c:pt idx="2">
                  <c:v>College Ave (Roadway) - Retrofit 1 (50% dim)</c:v>
                </c:pt>
                <c:pt idx="3">
                  <c:v>College Ave (Roadway) - Retrofit 2 (80% dim)</c:v>
                </c:pt>
                <c:pt idx="4">
                  <c:v>College Ave (Area) - Retrofit 1 (50% dim)</c:v>
                </c:pt>
                <c:pt idx="5">
                  <c:v>College Ave (Area) - Retrofit 2 (80% dim)</c:v>
                </c:pt>
                <c:pt idx="6">
                  <c:v>College Ave (Decorative) - Retrofit 1 (50% dim)</c:v>
                </c:pt>
                <c:pt idx="7">
                  <c:v>College Ave (Decorative) - Retrofit 2 (80% dim)</c:v>
                </c:pt>
              </c:strCache>
            </c:strRef>
          </c:cat>
          <c:val>
            <c:numRef>
              <c:f>Rebates!$K$8:$K$15</c:f>
              <c:numCache>
                <c:formatCode>"$"#,##0</c:formatCode>
                <c:ptCount val="8"/>
                <c:pt idx="0">
                  <c:v>15076.249999999998</c:v>
                </c:pt>
                <c:pt idx="1">
                  <c:v>18253.75</c:v>
                </c:pt>
                <c:pt idx="2">
                  <c:v>1357.5</c:v>
                </c:pt>
                <c:pt idx="3">
                  <c:v>1589.9999999999998</c:v>
                </c:pt>
                <c:pt idx="4">
                  <c:v>4750</c:v>
                </c:pt>
                <c:pt idx="5">
                  <c:v>4443.7500000000009</c:v>
                </c:pt>
                <c:pt idx="6">
                  <c:v>3175</c:v>
                </c:pt>
                <c:pt idx="7">
                  <c:v>3575</c:v>
                </c:pt>
              </c:numCache>
            </c:numRef>
          </c:val>
          <c:extLst>
            <c:ext xmlns:c16="http://schemas.microsoft.com/office/drawing/2014/chart" uri="{C3380CC4-5D6E-409C-BE32-E72D297353CC}">
              <c16:uniqueId val="{0000001A-4E89-4EE3-B1B2-589F0812E893}"/>
            </c:ext>
          </c:extLst>
        </c:ser>
        <c:dLbls>
          <c:showLegendKey val="0"/>
          <c:showVal val="0"/>
          <c:showCatName val="0"/>
          <c:showSerName val="0"/>
          <c:showPercent val="0"/>
          <c:showBubbleSize val="0"/>
        </c:dLbls>
        <c:gapWidth val="100"/>
        <c:overlap val="-10"/>
        <c:axId val="646289280"/>
        <c:axId val="646289696"/>
      </c:barChart>
      <c:catAx>
        <c:axId val="646289280"/>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5400000" spcFirstLastPara="1" vertOverflow="ellipsis" wrap="square" anchor="ctr" anchorCtr="1"/>
          <a:lstStyle/>
          <a:p>
            <a:pPr>
              <a:defRPr sz="900" b="0" i="0" u="none" strike="noStrike" kern="1200" baseline="0">
                <a:solidFill>
                  <a:schemeClr val="tx1"/>
                </a:solidFill>
                <a:latin typeface="+mn-lt"/>
                <a:ea typeface="+mn-ea"/>
                <a:cs typeface="+mn-cs"/>
              </a:defRPr>
            </a:pPr>
            <a:endParaRPr lang="en-US"/>
          </a:p>
        </c:txPr>
        <c:crossAx val="646289696"/>
        <c:crosses val="autoZero"/>
        <c:auto val="1"/>
        <c:lblAlgn val="ctr"/>
        <c:lblOffset val="100"/>
        <c:noMultiLvlLbl val="0"/>
      </c:catAx>
      <c:valAx>
        <c:axId val="646289696"/>
        <c:scaling>
          <c:orientation val="minMax"/>
          <c:min val="0"/>
        </c:scaling>
        <c:delete val="0"/>
        <c:axPos val="l"/>
        <c:majorGridlines>
          <c:spPr>
            <a:ln w="9525" cap="flat" cmpd="sng" algn="ctr">
              <a:solidFill>
                <a:schemeClr val="tx1">
                  <a:lumMod val="50000"/>
                  <a:lumOff val="50000"/>
                </a:schemeClr>
              </a:solidFill>
              <a:prstDash val="dash"/>
              <a:round/>
            </a:ln>
            <a:effectLst/>
          </c:spPr>
        </c:majorGridlines>
        <c:numFmt formatCode="_(&quot;$&quot;* #,##0_);_(&quot;$&quot;* \(#,##0\);_(&quot;$&quot;* &quot;-&quot;_);_(@_)" sourceLinked="0"/>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46289280"/>
        <c:crosses val="autoZero"/>
        <c:crossBetween val="between"/>
        <c:majorUnit val="4000"/>
      </c:valAx>
      <c:spPr>
        <a:noFill/>
        <a:ln w="12700">
          <a:solidFill>
            <a:schemeClr val="tx1"/>
          </a:solidFill>
        </a:ln>
        <a:effectLst/>
      </c:spPr>
    </c:plotArea>
    <c:legend>
      <c:legendPos val="r"/>
      <c:layout>
        <c:manualLayout>
          <c:xMode val="edge"/>
          <c:yMode val="edge"/>
          <c:x val="0.48132867807940638"/>
          <c:y val="2.9981742760806264E-2"/>
          <c:w val="0.49093374300499759"/>
          <c:h val="6.2991538756834498E-2"/>
        </c:manualLayout>
      </c:layout>
      <c:overlay val="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b="1">
                <a:solidFill>
                  <a:schemeClr val="tx1"/>
                </a:solidFill>
              </a:rPr>
              <a:t>Total Rebate</a:t>
            </a:r>
          </a:p>
        </c:rich>
      </c:tx>
      <c:layout>
        <c:manualLayout>
          <c:xMode val="edge"/>
          <c:yMode val="edge"/>
          <c:x val="0.10889290195523696"/>
          <c:y val="2.428561799009739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1009744368220385"/>
          <c:y val="0.10363229952500698"/>
          <c:w val="0.86494448213067987"/>
          <c:h val="0.38270686616813299"/>
        </c:manualLayout>
      </c:layout>
      <c:barChart>
        <c:barDir val="col"/>
        <c:grouping val="clustered"/>
        <c:varyColors val="0"/>
        <c:ser>
          <c:idx val="0"/>
          <c:order val="0"/>
          <c:tx>
            <c:strRef>
              <c:f>Rebates!$G$6</c:f>
              <c:strCache>
                <c:ptCount val="1"/>
                <c:pt idx="0">
                  <c:v>Xcel Rebate</c:v>
                </c:pt>
              </c:strCache>
            </c:strRef>
          </c:tx>
          <c:spPr>
            <a:solidFill>
              <a:schemeClr val="accent5">
                <a:lumMod val="60000"/>
                <a:lumOff val="40000"/>
              </a:schemeClr>
            </a:solidFill>
            <a:ln w="12700">
              <a:solidFill>
                <a:schemeClr val="tx1"/>
              </a:solidFill>
            </a:ln>
            <a:effectLst/>
          </c:spPr>
          <c:invertIfNegative val="0"/>
          <c:dPt>
            <c:idx val="1"/>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1-D6FB-4769-8CB0-961C4512696A}"/>
              </c:ext>
            </c:extLst>
          </c:dPt>
          <c:dPt>
            <c:idx val="2"/>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3-D6FB-4769-8CB0-961C4512696A}"/>
              </c:ext>
            </c:extLst>
          </c:dPt>
          <c:dPt>
            <c:idx val="4"/>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5-D6FB-4769-8CB0-961C4512696A}"/>
              </c:ext>
            </c:extLst>
          </c:dPt>
          <c:dPt>
            <c:idx val="5"/>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7-D6FB-4769-8CB0-961C4512696A}"/>
              </c:ext>
            </c:extLst>
          </c:dPt>
          <c:dPt>
            <c:idx val="7"/>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9-D6FB-4769-8CB0-961C4512696A}"/>
              </c:ext>
            </c:extLst>
          </c:dPt>
          <c:dPt>
            <c:idx val="8"/>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B-D6FB-4769-8CB0-961C4512696A}"/>
              </c:ext>
            </c:extLst>
          </c:dPt>
          <c:dPt>
            <c:idx val="10"/>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D-D6FB-4769-8CB0-961C4512696A}"/>
              </c:ext>
            </c:extLst>
          </c:dPt>
          <c:dPt>
            <c:idx val="11"/>
            <c:invertIfNegative val="0"/>
            <c:bubble3D val="0"/>
            <c:spPr>
              <a:solidFill>
                <a:schemeClr val="accent5">
                  <a:lumMod val="60000"/>
                  <a:lumOff val="40000"/>
                </a:schemeClr>
              </a:solidFill>
              <a:ln w="12700">
                <a:solidFill>
                  <a:schemeClr val="tx1"/>
                </a:solidFill>
              </a:ln>
              <a:effectLst/>
            </c:spPr>
            <c:extLst>
              <c:ext xmlns:c16="http://schemas.microsoft.com/office/drawing/2014/chart" uri="{C3380CC4-5D6E-409C-BE32-E72D297353CC}">
                <c16:uniqueId val="{0000000F-D6FB-4769-8CB0-961C4512696A}"/>
              </c:ext>
            </c:extLst>
          </c:dPt>
          <c:dLbls>
            <c:dLbl>
              <c:idx val="0"/>
              <c:layout>
                <c:manualLayout>
                  <c:x val="-9.683123847241723E-3"/>
                  <c:y val="7.5892556219054365E-3"/>
                </c:manualLayout>
              </c:layout>
              <c:numFmt formatCode="&quot;$&quot;0,\k"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6FB-4769-8CB0-961C4512696A}"/>
                </c:ext>
              </c:extLst>
            </c:dLbl>
            <c:dLbl>
              <c:idx val="1"/>
              <c:layout>
                <c:manualLayout>
                  <c:x val="-1.3852579474200457E-2"/>
                  <c:y val="6.07140449752434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FB-4769-8CB0-961C4512696A}"/>
                </c:ext>
              </c:extLst>
            </c:dLbl>
            <c:dLbl>
              <c:idx val="2"/>
              <c:layout>
                <c:manualLayout>
                  <c:x val="-1.2449759827467896E-2"/>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FB-4769-8CB0-961C4512696A}"/>
                </c:ext>
              </c:extLst>
            </c:dLbl>
            <c:dLbl>
              <c:idx val="3"/>
              <c:layout>
                <c:manualLayout>
                  <c:x val="-1.2449759827467844E-2"/>
                  <c:y val="1.2142808995048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6FB-4769-8CB0-961C4512696A}"/>
                </c:ext>
              </c:extLst>
            </c:dLbl>
            <c:dLbl>
              <c:idx val="4"/>
              <c:layout>
                <c:manualLayout>
                  <c:x val="-1.3852579474200533E-2"/>
                  <c:y val="6.07140449752434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FB-4769-8CB0-961C4512696A}"/>
                </c:ext>
              </c:extLst>
            </c:dLbl>
            <c:dLbl>
              <c:idx val="5"/>
              <c:layout>
                <c:manualLayout>
                  <c:x val="-1.383306647496443E-2"/>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6FB-4769-8CB0-961C4512696A}"/>
                </c:ext>
              </c:extLst>
            </c:dLbl>
            <c:dLbl>
              <c:idx val="6"/>
              <c:layout>
                <c:manualLayout>
                  <c:x val="-1.0598660392774486E-2"/>
                  <c:y val="1.2142808995048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6FB-4769-8CB0-961C4512696A}"/>
                </c:ext>
              </c:extLst>
            </c:dLbl>
            <c:dLbl>
              <c:idx val="7"/>
              <c:layout>
                <c:manualLayout>
                  <c:x val="-8.2707122782953325E-3"/>
                  <c:y val="9.1071067462865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FB-4769-8CB0-961C4512696A}"/>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Rebates!$F$20:$F$28</c:f>
              <c:strCache>
                <c:ptCount val="8"/>
                <c:pt idx="0">
                  <c:v>Model High School - Retrofit 1 (50% dim)</c:v>
                </c:pt>
                <c:pt idx="1">
                  <c:v>Model High School - Retrofit 2 (80% dim)</c:v>
                </c:pt>
                <c:pt idx="2">
                  <c:v>College Ave (Roadway) - Retrofit 1 (50% dim)</c:v>
                </c:pt>
                <c:pt idx="3">
                  <c:v>College Ave (Roadway) - Retrofit 2 (80% dim)</c:v>
                </c:pt>
                <c:pt idx="4">
                  <c:v>College Ave (Area) - Retrofit 1 (50% dim)</c:v>
                </c:pt>
                <c:pt idx="5">
                  <c:v>College Ave (Area) - Retrofit 2 (80% dim)</c:v>
                </c:pt>
                <c:pt idx="6">
                  <c:v>College Ave (Decorative) - Retrofit 1 (50% dim)</c:v>
                </c:pt>
                <c:pt idx="7">
                  <c:v>College Ave (Decorative) - Retrofit 2 (80% dim)</c:v>
                </c:pt>
              </c:strCache>
            </c:strRef>
          </c:cat>
          <c:val>
            <c:numRef>
              <c:f>Rebates!$I$8:$I$15</c:f>
              <c:numCache>
                <c:formatCode>"$"#,##0_);[Red]\("$"#,##0\)</c:formatCode>
                <c:ptCount val="8"/>
                <c:pt idx="0">
                  <c:v>10244.200000000001</c:v>
                </c:pt>
                <c:pt idx="1">
                  <c:v>8077.4</c:v>
                </c:pt>
                <c:pt idx="2">
                  <c:v>969.6</c:v>
                </c:pt>
                <c:pt idx="3">
                  <c:v>895.2</c:v>
                </c:pt>
                <c:pt idx="4">
                  <c:v>890.00000000000011</c:v>
                </c:pt>
                <c:pt idx="5">
                  <c:v>988</c:v>
                </c:pt>
                <c:pt idx="6">
                  <c:v>2248</c:v>
                </c:pt>
                <c:pt idx="7">
                  <c:v>2120</c:v>
                </c:pt>
              </c:numCache>
            </c:numRef>
          </c:val>
          <c:extLst>
            <c:ext xmlns:c16="http://schemas.microsoft.com/office/drawing/2014/chart" uri="{C3380CC4-5D6E-409C-BE32-E72D297353CC}">
              <c16:uniqueId val="{00000013-D6FB-4769-8CB0-961C4512696A}"/>
            </c:ext>
          </c:extLst>
        </c:ser>
        <c:ser>
          <c:idx val="1"/>
          <c:order val="1"/>
          <c:tx>
            <c:strRef>
              <c:f>Rebates!$K$6</c:f>
              <c:strCache>
                <c:ptCount val="1"/>
                <c:pt idx="0">
                  <c:v>Fort Collins Utility Rebate</c:v>
                </c:pt>
              </c:strCache>
            </c:strRef>
          </c:tx>
          <c:spPr>
            <a:solidFill>
              <a:schemeClr val="accent6">
                <a:lumMod val="60000"/>
                <a:lumOff val="40000"/>
              </a:schemeClr>
            </a:solidFill>
            <a:ln>
              <a:solidFill>
                <a:sysClr val="windowText" lastClr="000000"/>
              </a:solidFill>
            </a:ln>
            <a:effectLst/>
          </c:spPr>
          <c:invertIfNegative val="0"/>
          <c:dLbls>
            <c:dLbl>
              <c:idx val="0"/>
              <c:layout>
                <c:manualLayout>
                  <c:x val="-1.3833713325358363E-3"/>
                  <c:y val="6.071404497524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6FB-4769-8CB0-961C4512696A}"/>
                </c:ext>
              </c:extLst>
            </c:dLbl>
            <c:dLbl>
              <c:idx val="1"/>
              <c:layout>
                <c:manualLayout>
                  <c:x val="0"/>
                  <c:y val="-6.07140449752434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6FB-4769-8CB0-961C4512696A}"/>
                </c:ext>
              </c:extLst>
            </c:dLbl>
            <c:dLbl>
              <c:idx val="2"/>
              <c:layout>
                <c:manualLayout>
                  <c:x val="0"/>
                  <c:y val="9.10710674628641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6FB-4769-8CB0-961C4512696A}"/>
                </c:ext>
              </c:extLst>
            </c:dLbl>
            <c:dLbl>
              <c:idx val="3"/>
              <c:layout>
                <c:manualLayout>
                  <c:x val="0"/>
                  <c:y val="1.2142808995048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6FB-4769-8CB0-961C4512696A}"/>
                </c:ext>
              </c:extLst>
            </c:dLbl>
            <c:dLbl>
              <c:idx val="4"/>
              <c:layout>
                <c:manualLayout>
                  <c:x val="-1.0215389716670793E-16"/>
                  <c:y val="6.07140449752429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6FB-4769-8CB0-961C4512696A}"/>
                </c:ext>
              </c:extLst>
            </c:dLbl>
            <c:dLbl>
              <c:idx val="5"/>
              <c:layout>
                <c:manualLayout>
                  <c:x val="9.6524482447790681E-6"/>
                  <c:y val="1.51785112438103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6FB-4769-8CB0-961C4512696A}"/>
                </c:ext>
              </c:extLst>
            </c:dLbl>
            <c:dLbl>
              <c:idx val="6"/>
              <c:layout>
                <c:manualLayout>
                  <c:x val="1.3833713325358363E-3"/>
                  <c:y val="4.55355337314326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D6FB-4769-8CB0-961C4512696A}"/>
                </c:ext>
              </c:extLst>
            </c:dLbl>
            <c:dLbl>
              <c:idx val="7"/>
              <c:layout>
                <c:manualLayout>
                  <c:x val="-1.0215389716670793E-16"/>
                  <c:y val="7.5892556219054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6FB-4769-8CB0-961C4512696A}"/>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Rebates!$F$20:$F$28</c:f>
              <c:strCache>
                <c:ptCount val="8"/>
                <c:pt idx="0">
                  <c:v>Model High School - Retrofit 1 (50% dim)</c:v>
                </c:pt>
                <c:pt idx="1">
                  <c:v>Model High School - Retrofit 2 (80% dim)</c:v>
                </c:pt>
                <c:pt idx="2">
                  <c:v>College Ave (Roadway) - Retrofit 1 (50% dim)</c:v>
                </c:pt>
                <c:pt idx="3">
                  <c:v>College Ave (Roadway) - Retrofit 2 (80% dim)</c:v>
                </c:pt>
                <c:pt idx="4">
                  <c:v>College Ave (Area) - Retrofit 1 (50% dim)</c:v>
                </c:pt>
                <c:pt idx="5">
                  <c:v>College Ave (Area) - Retrofit 2 (80% dim)</c:v>
                </c:pt>
                <c:pt idx="6">
                  <c:v>College Ave (Decorative) - Retrofit 1 (50% dim)</c:v>
                </c:pt>
                <c:pt idx="7">
                  <c:v>College Ave (Decorative) - Retrofit 2 (80% dim)</c:v>
                </c:pt>
              </c:strCache>
            </c:strRef>
          </c:cat>
          <c:val>
            <c:numRef>
              <c:f>Rebates!$M$8:$M$15</c:f>
              <c:numCache>
                <c:formatCode>"$"#,##0_);[Red]\("$"#,##0\)</c:formatCode>
                <c:ptCount val="8"/>
                <c:pt idx="0">
                  <c:v>21250.25</c:v>
                </c:pt>
                <c:pt idx="1">
                  <c:v>23156.75</c:v>
                </c:pt>
                <c:pt idx="2">
                  <c:v>2194.5</c:v>
                </c:pt>
                <c:pt idx="3">
                  <c:v>2334</c:v>
                </c:pt>
                <c:pt idx="4">
                  <c:v>5550</c:v>
                </c:pt>
                <c:pt idx="5">
                  <c:v>5366.2500000000009</c:v>
                </c:pt>
                <c:pt idx="6">
                  <c:v>4735</c:v>
                </c:pt>
                <c:pt idx="7">
                  <c:v>4975</c:v>
                </c:pt>
              </c:numCache>
            </c:numRef>
          </c:val>
          <c:extLst>
            <c:ext xmlns:c16="http://schemas.microsoft.com/office/drawing/2014/chart" uri="{C3380CC4-5D6E-409C-BE32-E72D297353CC}">
              <c16:uniqueId val="{0000001C-D6FB-4769-8CB0-961C4512696A}"/>
            </c:ext>
          </c:extLst>
        </c:ser>
        <c:dLbls>
          <c:showLegendKey val="0"/>
          <c:showVal val="0"/>
          <c:showCatName val="0"/>
          <c:showSerName val="0"/>
          <c:showPercent val="0"/>
          <c:showBubbleSize val="0"/>
        </c:dLbls>
        <c:gapWidth val="100"/>
        <c:overlap val="-10"/>
        <c:axId val="646289280"/>
        <c:axId val="646289696"/>
      </c:barChart>
      <c:catAx>
        <c:axId val="646289280"/>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5400000" spcFirstLastPara="1" vertOverflow="ellipsis" wrap="square" anchor="ctr" anchorCtr="1"/>
          <a:lstStyle/>
          <a:p>
            <a:pPr>
              <a:defRPr sz="900" b="0" i="0" u="none" strike="noStrike" kern="1200" baseline="0">
                <a:solidFill>
                  <a:schemeClr val="tx1"/>
                </a:solidFill>
                <a:latin typeface="+mn-lt"/>
                <a:ea typeface="+mn-ea"/>
                <a:cs typeface="+mn-cs"/>
              </a:defRPr>
            </a:pPr>
            <a:endParaRPr lang="en-US"/>
          </a:p>
        </c:txPr>
        <c:crossAx val="646289696"/>
        <c:crosses val="autoZero"/>
        <c:auto val="1"/>
        <c:lblAlgn val="ctr"/>
        <c:lblOffset val="100"/>
        <c:noMultiLvlLbl val="0"/>
      </c:catAx>
      <c:valAx>
        <c:axId val="646289696"/>
        <c:scaling>
          <c:orientation val="minMax"/>
          <c:min val="0"/>
        </c:scaling>
        <c:delete val="0"/>
        <c:axPos val="l"/>
        <c:majorGridlines>
          <c:spPr>
            <a:ln w="9525" cap="flat" cmpd="sng" algn="ctr">
              <a:solidFill>
                <a:schemeClr val="tx1">
                  <a:lumMod val="50000"/>
                  <a:lumOff val="50000"/>
                </a:schemeClr>
              </a:solidFill>
              <a:prstDash val="dash"/>
              <a:round/>
            </a:ln>
            <a:effectLst/>
          </c:spPr>
        </c:majorGridlines>
        <c:numFmt formatCode="_(&quot;$&quot;* #,##0_);_(&quot;$&quot;* \(#,##0\);_(&quot;$&quot;* &quot;-&quot;_);_(@_)" sourceLinked="0"/>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46289280"/>
        <c:crosses val="autoZero"/>
        <c:crossBetween val="between"/>
        <c:majorUnit val="4000"/>
      </c:valAx>
      <c:spPr>
        <a:noFill/>
        <a:ln w="12700">
          <a:solidFill>
            <a:schemeClr val="tx1"/>
          </a:solidFill>
        </a:ln>
        <a:effectLst/>
      </c:spPr>
    </c:plotArea>
    <c:legend>
      <c:legendPos val="r"/>
      <c:layout>
        <c:manualLayout>
          <c:xMode val="edge"/>
          <c:yMode val="edge"/>
          <c:x val="0.48132867807940638"/>
          <c:y val="2.9981742760806264E-2"/>
          <c:w val="0.49093374300499759"/>
          <c:h val="6.2991538756834498E-2"/>
        </c:manualLayout>
      </c:layout>
      <c:overlay val="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Installation Cost</a:t>
            </a:r>
          </a:p>
        </c:rich>
      </c:tx>
      <c:layout>
        <c:manualLayout>
          <c:xMode val="edge"/>
          <c:yMode val="edge"/>
          <c:x val="0.13843241713744892"/>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4714301046941622"/>
          <c:y val="0.15409766075944648"/>
          <c:w val="0.82935671145196066"/>
          <c:h val="0.67761995291464405"/>
        </c:manualLayout>
      </c:layout>
      <c:barChart>
        <c:barDir val="col"/>
        <c:grouping val="clustered"/>
        <c:varyColors val="0"/>
        <c:ser>
          <c:idx val="0"/>
          <c:order val="0"/>
          <c:tx>
            <c:strRef>
              <c:f>'Capital_Summary (Ref)'!$D$6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3.390312258703126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AD-4E0C-AC09-643712EF1C57}"/>
                </c:ext>
              </c:extLst>
            </c:dLbl>
            <c:dLbl>
              <c:idx val="1"/>
              <c:layout>
                <c:manualLayout>
                  <c:x val="-7.434944237918261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D-4E0C-AC09-643712EF1C57}"/>
                </c:ext>
              </c:extLst>
            </c:dLbl>
            <c:dLbl>
              <c:idx val="3"/>
              <c:layout>
                <c:manualLayout>
                  <c:x val="-9.9132589838909543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D-4E0C-AC09-643712EF1C57}"/>
                </c:ext>
              </c:extLst>
            </c:dLbl>
            <c:numFmt formatCode="&quot;$&quot;\ 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'Capital_Summary (Ref)'!$C$8:$C$11</c:f>
              <c:strCache>
                <c:ptCount val="4"/>
                <c:pt idx="0">
                  <c:v>Model High School</c:v>
                </c:pt>
                <c:pt idx="1">
                  <c:v>College Ave (Roadway)</c:v>
                </c:pt>
                <c:pt idx="2">
                  <c:v>College Ave (Area)</c:v>
                </c:pt>
                <c:pt idx="3">
                  <c:v>College Ave (Decorative)</c:v>
                </c:pt>
              </c:strCache>
            </c:strRef>
          </c:cat>
          <c:val>
            <c:numRef>
              <c:f>'Capital_Summary (Ref)'!$E$8:$E$11</c:f>
              <c:numCache>
                <c:formatCode>_("$"* #,##0_);_("$"* \(#,##0\);_("$"* "-"??_);_(@_)</c:formatCode>
                <c:ptCount val="4"/>
                <c:pt idx="0">
                  <c:v>11113</c:v>
                </c:pt>
                <c:pt idx="1">
                  <c:v>1150</c:v>
                </c:pt>
                <c:pt idx="2">
                  <c:v>1757.5</c:v>
                </c:pt>
                <c:pt idx="3">
                  <c:v>2760</c:v>
                </c:pt>
              </c:numCache>
            </c:numRef>
          </c:val>
          <c:extLst>
            <c:ext xmlns:c16="http://schemas.microsoft.com/office/drawing/2014/chart" uri="{C3380CC4-5D6E-409C-BE32-E72D297353CC}">
              <c16:uniqueId val="{00000003-2CAD-4E0C-AC09-643712EF1C57}"/>
            </c:ext>
          </c:extLst>
        </c:ser>
        <c:ser>
          <c:idx val="1"/>
          <c:order val="1"/>
          <c:tx>
            <c:strRef>
              <c:f>'Capital_Summary (Ref)'!$H$6</c:f>
              <c:strCache>
                <c:ptCount val="1"/>
                <c:pt idx="0">
                  <c:v>Retrofit 2</c:v>
                </c:pt>
              </c:strCache>
            </c:strRef>
          </c:tx>
          <c:spPr>
            <a:solidFill>
              <a:schemeClr val="accent5"/>
            </a:solidFill>
            <a:ln w="12700">
              <a:solidFill>
                <a:schemeClr val="tx1"/>
              </a:solidFill>
            </a:ln>
            <a:effectLst/>
          </c:spPr>
          <c:invertIfNegative val="0"/>
          <c:dLbls>
            <c:dLbl>
              <c:idx val="0"/>
              <c:layout>
                <c:manualLayout>
                  <c:x val="4.9566294919454771E-3"/>
                  <c:y val="-1.695156129351563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AD-4E0C-AC09-643712EF1C57}"/>
                </c:ext>
              </c:extLst>
            </c:dLbl>
            <c:dLbl>
              <c:idx val="3"/>
              <c:layout>
                <c:manualLayout>
                  <c:x val="7.4349442379182153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AD-4E0C-AC09-643712EF1C57}"/>
                </c:ext>
              </c:extLst>
            </c:dLbl>
            <c:numFmt formatCode="&quot;$&quot;\ 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'Capital_Summary (Ref)'!$C$8:$C$11</c:f>
              <c:strCache>
                <c:ptCount val="4"/>
                <c:pt idx="0">
                  <c:v>Model High School</c:v>
                </c:pt>
                <c:pt idx="1">
                  <c:v>College Ave (Roadway)</c:v>
                </c:pt>
                <c:pt idx="2">
                  <c:v>College Ave (Area)</c:v>
                </c:pt>
                <c:pt idx="3">
                  <c:v>College Ave (Decorative)</c:v>
                </c:pt>
              </c:strCache>
            </c:strRef>
          </c:cat>
          <c:val>
            <c:numRef>
              <c:f>'Capital_Summary (Ref)'!$I$8:$I$11</c:f>
              <c:numCache>
                <c:formatCode>_("$"* #,##0_);_("$"* \(#,##0\);_("$"* "-"??_);_(@_)</c:formatCode>
                <c:ptCount val="4"/>
                <c:pt idx="0">
                  <c:v>11113</c:v>
                </c:pt>
                <c:pt idx="1">
                  <c:v>1150</c:v>
                </c:pt>
                <c:pt idx="2">
                  <c:v>1757.5</c:v>
                </c:pt>
                <c:pt idx="3">
                  <c:v>2760</c:v>
                </c:pt>
              </c:numCache>
            </c:numRef>
          </c:val>
          <c:extLst>
            <c:ext xmlns:c16="http://schemas.microsoft.com/office/drawing/2014/chart" uri="{C3380CC4-5D6E-409C-BE32-E72D297353CC}">
              <c16:uniqueId val="{00000006-2CAD-4E0C-AC09-643712EF1C57}"/>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ax val="21000"/>
          <c:min val="0"/>
        </c:scaling>
        <c:delete val="0"/>
        <c:axPos val="l"/>
        <c:numFmt formatCode="&quot;$&quot;\ 0,\ \k"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64440554596102995"/>
          <c:y val="4.4854567757131834E-2"/>
          <c:w val="0.33081130657924263"/>
          <c:h val="9.0952668849693816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Total Cost</a:t>
            </a:r>
          </a:p>
        </c:rich>
      </c:tx>
      <c:layout>
        <c:manualLayout>
          <c:xMode val="edge"/>
          <c:yMode val="edge"/>
          <c:x val="0.14834567612133986"/>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4714301046941622"/>
          <c:y val="0.15409766075944648"/>
          <c:w val="0.82935671145196066"/>
          <c:h val="0.67761995291464405"/>
        </c:manualLayout>
      </c:layout>
      <c:barChart>
        <c:barDir val="col"/>
        <c:grouping val="clustered"/>
        <c:varyColors val="0"/>
        <c:ser>
          <c:idx val="0"/>
          <c:order val="0"/>
          <c:tx>
            <c:strRef>
              <c:f>'Capital_Summary (Ref)'!$D$6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7348203221809192E-2"/>
                  <c:y val="-3.390312258703126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74-4D3B-B002-0F093173F889}"/>
                </c:ext>
              </c:extLst>
            </c:dLbl>
            <c:dLbl>
              <c:idx val="2"/>
              <c:layout>
                <c:manualLayout>
                  <c:x val="-1.239157372986369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74-4D3B-B002-0F093173F889}"/>
                </c:ext>
              </c:extLst>
            </c:dLbl>
            <c:dLbl>
              <c:idx val="3"/>
              <c:layout>
                <c:manualLayout>
                  <c:x val="-7.434944237918397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74-4D3B-B002-0F093173F889}"/>
                </c:ext>
              </c:extLst>
            </c:dLbl>
            <c:numFmt formatCode="&quot;$&quot;\ 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'Capital_Summary (Ref)'!$C$8:$C$11</c:f>
              <c:strCache>
                <c:ptCount val="4"/>
                <c:pt idx="0">
                  <c:v>Model High School</c:v>
                </c:pt>
                <c:pt idx="1">
                  <c:v>College Ave (Roadway)</c:v>
                </c:pt>
                <c:pt idx="2">
                  <c:v>College Ave (Area)</c:v>
                </c:pt>
                <c:pt idx="3">
                  <c:v>College Ave (Decorative)</c:v>
                </c:pt>
              </c:strCache>
            </c:strRef>
          </c:cat>
          <c:val>
            <c:numRef>
              <c:f>'Capital_Summary (Ref)'!$F$8:$F$11</c:f>
              <c:numCache>
                <c:formatCode>_("$"* #,##0_);_("$"* \(#,##0\);_("$"* "-"??_);_(@_)</c:formatCode>
                <c:ptCount val="4"/>
                <c:pt idx="0">
                  <c:v>100859.89143399999</c:v>
                </c:pt>
                <c:pt idx="1">
                  <c:v>13602.962617899997</c:v>
                </c:pt>
                <c:pt idx="2">
                  <c:v>16367.970253299996</c:v>
                </c:pt>
                <c:pt idx="3">
                  <c:v>35510.388852299999</c:v>
                </c:pt>
              </c:numCache>
            </c:numRef>
          </c:val>
          <c:extLst>
            <c:ext xmlns:c16="http://schemas.microsoft.com/office/drawing/2014/chart" uri="{C3380CC4-5D6E-409C-BE32-E72D297353CC}">
              <c16:uniqueId val="{00000003-2474-4D3B-B002-0F093173F889}"/>
            </c:ext>
          </c:extLst>
        </c:ser>
        <c:ser>
          <c:idx val="1"/>
          <c:order val="1"/>
          <c:tx>
            <c:strRef>
              <c:f>'Capital_Summary (Ref)'!$H$6</c:f>
              <c:strCache>
                <c:ptCount val="1"/>
                <c:pt idx="0">
                  <c:v>Retrofit 2</c:v>
                </c:pt>
              </c:strCache>
            </c:strRef>
          </c:tx>
          <c:spPr>
            <a:solidFill>
              <a:schemeClr val="accent5"/>
            </a:solidFill>
            <a:ln w="12700">
              <a:solidFill>
                <a:schemeClr val="tx1"/>
              </a:solidFill>
            </a:ln>
            <a:effectLst/>
          </c:spPr>
          <c:invertIfNegative val="0"/>
          <c:dLbls>
            <c:dLbl>
              <c:idx val="0"/>
              <c:layout>
                <c:manualLayout>
                  <c:x val="4.95662949194543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74-4D3B-B002-0F093173F889}"/>
                </c:ext>
              </c:extLst>
            </c:dLbl>
            <c:dLbl>
              <c:idx val="2"/>
              <c:layout>
                <c:manualLayout>
                  <c:x val="7.434944237918215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74-4D3B-B002-0F093173F889}"/>
                </c:ext>
              </c:extLst>
            </c:dLbl>
            <c:numFmt formatCode="&quot;$&quot;\ 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'Capital_Summary (Ref)'!$C$8:$C$11</c:f>
              <c:strCache>
                <c:ptCount val="4"/>
                <c:pt idx="0">
                  <c:v>Model High School</c:v>
                </c:pt>
                <c:pt idx="1">
                  <c:v>College Ave (Roadway)</c:v>
                </c:pt>
                <c:pt idx="2">
                  <c:v>College Ave (Area)</c:v>
                </c:pt>
                <c:pt idx="3">
                  <c:v>College Ave (Decorative)</c:v>
                </c:pt>
              </c:strCache>
            </c:strRef>
          </c:cat>
          <c:val>
            <c:numRef>
              <c:f>'Capital_Summary (Ref)'!$J$8:$J$11</c:f>
              <c:numCache>
                <c:formatCode>_("$"* #,##0_);_("$"* \(#,##0\);_("$"* "-"??_);_(@_)</c:formatCode>
                <c:ptCount val="4"/>
                <c:pt idx="0">
                  <c:v>103095.95724609998</c:v>
                </c:pt>
                <c:pt idx="1">
                  <c:v>16443.702277899996</c:v>
                </c:pt>
                <c:pt idx="2">
                  <c:v>16367.970253299996</c:v>
                </c:pt>
                <c:pt idx="3">
                  <c:v>49150.094952299987</c:v>
                </c:pt>
              </c:numCache>
            </c:numRef>
          </c:val>
          <c:extLst>
            <c:ext xmlns:c16="http://schemas.microsoft.com/office/drawing/2014/chart" uri="{C3380CC4-5D6E-409C-BE32-E72D297353CC}">
              <c16:uniqueId val="{00000006-2474-4D3B-B002-0F093173F889}"/>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ax val="124000"/>
          <c:min val="0"/>
        </c:scaling>
        <c:delete val="0"/>
        <c:axPos val="l"/>
        <c:numFmt formatCode="&quot;$&quot;\ 0,\ \k"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64440554596102995"/>
          <c:y val="4.4854567757131834E-2"/>
          <c:w val="0.33081130657924263"/>
          <c:h val="9.0952668849693816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Replacement Cost - Yearly</a:t>
            </a:r>
          </a:p>
        </c:rich>
      </c:tx>
      <c:layout>
        <c:manualLayout>
          <c:xMode val="edge"/>
          <c:yMode val="edge"/>
          <c:x val="0.11363091332333458"/>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651024090738658"/>
          <c:y val="0.15779622594913337"/>
          <c:w val="0.84110540869891259"/>
          <c:h val="0.67761995291464405"/>
        </c:manualLayout>
      </c:layout>
      <c:barChart>
        <c:barDir val="col"/>
        <c:grouping val="clustered"/>
        <c:varyColors val="0"/>
        <c:ser>
          <c:idx val="0"/>
          <c:order val="0"/>
          <c:tx>
            <c:strRef>
              <c:f>'Maint_Summary (Ref)'!$J$6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4D-48C4-8D3D-D454C77918FC}"/>
                </c:ext>
              </c:extLst>
            </c:dLbl>
            <c:dLbl>
              <c:idx val="1"/>
              <c:layout>
                <c:manualLayout>
                  <c:x val="-1.4869888475836431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4D-48C4-8D3D-D454C77918FC}"/>
                </c:ext>
              </c:extLst>
            </c:dLbl>
            <c:dLbl>
              <c:idx val="2"/>
              <c:layout>
                <c:manualLayout>
                  <c:x val="-1.23915737298637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4D-48C4-8D3D-D454C77918FC}"/>
                </c:ext>
              </c:extLst>
            </c:dLbl>
            <c:dLbl>
              <c:idx val="3"/>
              <c:layout>
                <c:manualLayout>
                  <c:x val="-1.2391573729863693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4D-48C4-8D3D-D454C77918FC}"/>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(Ref)'!$J$8:$J$11</c:f>
              <c:numCache>
                <c:formatCode>_("$"* #,##0_);_("$"* \(#,##0\);_("$"* "-"??_);_(@_)</c:formatCode>
                <c:ptCount val="4"/>
                <c:pt idx="0">
                  <c:v>40.081480391999989</c:v>
                </c:pt>
                <c:pt idx="1">
                  <c:v>3.2658859200000001</c:v>
                </c:pt>
                <c:pt idx="2">
                  <c:v>4.8849993074999993</c:v>
                </c:pt>
                <c:pt idx="3">
                  <c:v>14.032769199999999</c:v>
                </c:pt>
              </c:numCache>
            </c:numRef>
          </c:val>
          <c:extLst>
            <c:ext xmlns:c16="http://schemas.microsoft.com/office/drawing/2014/chart" uri="{C3380CC4-5D6E-409C-BE32-E72D297353CC}">
              <c16:uniqueId val="{00000004-8A4D-48C4-8D3D-D454C77918FC}"/>
            </c:ext>
          </c:extLst>
        </c:ser>
        <c:ser>
          <c:idx val="1"/>
          <c:order val="1"/>
          <c:tx>
            <c:strRef>
              <c:f>'Maint_Summary (Ref)'!$O$6</c:f>
              <c:strCache>
                <c:ptCount val="1"/>
                <c:pt idx="0">
                  <c:v>Retrofit 2</c:v>
                </c:pt>
              </c:strCache>
            </c:strRef>
          </c:tx>
          <c:spPr>
            <a:solidFill>
              <a:schemeClr val="accent5"/>
            </a:solidFill>
            <a:ln w="12700">
              <a:solidFill>
                <a:schemeClr val="tx1"/>
              </a:solidFill>
            </a:ln>
            <a:effectLst/>
          </c:spPr>
          <c:invertIfNegative val="0"/>
          <c:dLbls>
            <c:dLbl>
              <c:idx val="0"/>
              <c:layout>
                <c:manualLayout>
                  <c:x val="1.23915737298636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4D-48C4-8D3D-D454C77918FC}"/>
                </c:ext>
              </c:extLst>
            </c:dLbl>
            <c:dLbl>
              <c:idx val="1"/>
              <c:layout>
                <c:manualLayout>
                  <c:x val="4.9566294919454771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4D-48C4-8D3D-D454C77918FC}"/>
                </c:ext>
              </c:extLst>
            </c:dLbl>
            <c:dLbl>
              <c:idx val="2"/>
              <c:layout>
                <c:manualLayout>
                  <c:x val="7.434944237918125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A4D-48C4-8D3D-D454C77918FC}"/>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(Ref)'!$O$8:$O$11</c:f>
              <c:numCache>
                <c:formatCode>_("$"* #,##0_);_("$"* \(#,##0\);_("$"* "-"??_);_(@_)</c:formatCode>
                <c:ptCount val="4"/>
                <c:pt idx="0">
                  <c:v>41.199513298049993</c:v>
                </c:pt>
                <c:pt idx="1">
                  <c:v>4.6862557499999999</c:v>
                </c:pt>
                <c:pt idx="2">
                  <c:v>4.8849993074999993</c:v>
                </c:pt>
                <c:pt idx="3">
                  <c:v>14.032769199999999</c:v>
                </c:pt>
              </c:numCache>
            </c:numRef>
          </c:val>
          <c:extLst>
            <c:ext xmlns:c16="http://schemas.microsoft.com/office/drawing/2014/chart" uri="{C3380CC4-5D6E-409C-BE32-E72D297353CC}">
              <c16:uniqueId val="{00000008-8A4D-48C4-8D3D-D454C77918FC}"/>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ax val="55"/>
          <c:min val="0"/>
        </c:scaling>
        <c:delete val="0"/>
        <c:axPos val="l"/>
        <c:numFmt formatCode="_(&quot;$&quot;* #,##0_);_(&quot;$&quot;* \(#,##0\);_(&quot;$&quot;* &quot;-&quot;_);_(@_)"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49570666120266565"/>
          <c:y val="4.4854567757131834E-2"/>
          <c:w val="0.47951019133760697"/>
          <c:h val="9.2046220998298081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Replacement Cost - Lifetime</a:t>
            </a:r>
          </a:p>
        </c:rich>
      </c:tx>
      <c:layout>
        <c:manualLayout>
          <c:xMode val="edge"/>
          <c:yMode val="edge"/>
          <c:x val="0.11611107205349332"/>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651024090738658"/>
          <c:y val="0.15779622594913337"/>
          <c:w val="0.84110540869891259"/>
          <c:h val="0.67761995291464405"/>
        </c:manualLayout>
      </c:layout>
      <c:barChart>
        <c:barDir val="col"/>
        <c:grouping val="clustered"/>
        <c:varyColors val="0"/>
        <c:ser>
          <c:idx val="0"/>
          <c:order val="0"/>
          <c:tx>
            <c:strRef>
              <c:f>'Maint_Summary (Ref)'!$J$6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35-4B57-83B0-8420AB811B37}"/>
                </c:ext>
              </c:extLst>
            </c:dLbl>
            <c:dLbl>
              <c:idx val="1"/>
              <c:layout>
                <c:manualLayout>
                  <c:x val="-1.4869888475836431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35-4B57-83B0-8420AB811B37}"/>
                </c:ext>
              </c:extLst>
            </c:dLbl>
            <c:dLbl>
              <c:idx val="2"/>
              <c:layout>
                <c:manualLayout>
                  <c:x val="-1.23915737298637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35-4B57-83B0-8420AB811B37}"/>
                </c:ext>
              </c:extLst>
            </c:dLbl>
            <c:dLbl>
              <c:idx val="3"/>
              <c:layout>
                <c:manualLayout>
                  <c:x val="-1.2391573729863693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35-4B57-83B0-8420AB811B37}"/>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(Ref)'!$U$8:$U$11</c:f>
              <c:numCache>
                <c:formatCode>_("$"* #,##0_);_("$"* \(#,##0\);_("$"* "-"??_);_(@_)</c:formatCode>
                <c:ptCount val="4"/>
                <c:pt idx="0">
                  <c:v>801.62960783999984</c:v>
                </c:pt>
                <c:pt idx="1">
                  <c:v>65.317718400000004</c:v>
                </c:pt>
                <c:pt idx="2">
                  <c:v>97.699986149999987</c:v>
                </c:pt>
                <c:pt idx="3">
                  <c:v>280.65538399999997</c:v>
                </c:pt>
              </c:numCache>
            </c:numRef>
          </c:val>
          <c:extLst>
            <c:ext xmlns:c16="http://schemas.microsoft.com/office/drawing/2014/chart" uri="{C3380CC4-5D6E-409C-BE32-E72D297353CC}">
              <c16:uniqueId val="{00000004-C535-4B57-83B0-8420AB811B37}"/>
            </c:ext>
          </c:extLst>
        </c:ser>
        <c:ser>
          <c:idx val="1"/>
          <c:order val="1"/>
          <c:tx>
            <c:strRef>
              <c:f>'Maint_Summary (Ref)'!$O$6</c:f>
              <c:strCache>
                <c:ptCount val="1"/>
                <c:pt idx="0">
                  <c:v>Retrofit 2</c:v>
                </c:pt>
              </c:strCache>
            </c:strRef>
          </c:tx>
          <c:spPr>
            <a:solidFill>
              <a:schemeClr val="accent5"/>
            </a:solidFill>
            <a:ln w="12700">
              <a:solidFill>
                <a:schemeClr val="tx1"/>
              </a:solidFill>
            </a:ln>
            <a:effectLst/>
          </c:spPr>
          <c:invertIfNegative val="0"/>
          <c:dLbls>
            <c:dLbl>
              <c:idx val="0"/>
              <c:layout>
                <c:manualLayout>
                  <c:x val="1.23915737298636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35-4B57-83B0-8420AB811B37}"/>
                </c:ext>
              </c:extLst>
            </c:dLbl>
            <c:dLbl>
              <c:idx val="1"/>
              <c:layout>
                <c:manualLayout>
                  <c:x val="4.9566294919454771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35-4B57-83B0-8420AB811B37}"/>
                </c:ext>
              </c:extLst>
            </c:dLbl>
            <c:dLbl>
              <c:idx val="2"/>
              <c:layout>
                <c:manualLayout>
                  <c:x val="7.434944237918125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35-4B57-83B0-8420AB811B37}"/>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(Ref)'!$Z$8:$Z$11</c:f>
              <c:numCache>
                <c:formatCode>_("$"* #,##0_);_("$"* \(#,##0\);_("$"* "-"??_);_(@_)</c:formatCode>
                <c:ptCount val="4"/>
                <c:pt idx="0">
                  <c:v>823.99026596099986</c:v>
                </c:pt>
                <c:pt idx="1">
                  <c:v>93.725115000000002</c:v>
                </c:pt>
                <c:pt idx="2">
                  <c:v>97.699986149999987</c:v>
                </c:pt>
                <c:pt idx="3">
                  <c:v>280.65538399999997</c:v>
                </c:pt>
              </c:numCache>
            </c:numRef>
          </c:val>
          <c:extLst>
            <c:ext xmlns:c16="http://schemas.microsoft.com/office/drawing/2014/chart" uri="{C3380CC4-5D6E-409C-BE32-E72D297353CC}">
              <c16:uniqueId val="{00000008-C535-4B57-83B0-8420AB811B37}"/>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in val="0"/>
        </c:scaling>
        <c:delete val="0"/>
        <c:axPos val="l"/>
        <c:numFmt formatCode="&quot;$&quot;\ 0.0,\k"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majorUnit val="200"/>
      </c:valAx>
      <c:spPr>
        <a:noFill/>
        <a:ln w="12700">
          <a:solidFill>
            <a:sysClr val="windowText" lastClr="000000"/>
          </a:solidFill>
        </a:ln>
        <a:effectLst/>
      </c:spPr>
    </c:plotArea>
    <c:legend>
      <c:legendPos val="r"/>
      <c:layout>
        <c:manualLayout>
          <c:xMode val="edge"/>
          <c:yMode val="edge"/>
          <c:x val="0.49570666120266565"/>
          <c:y val="4.4854567757131834E-2"/>
          <c:w val="0.47951019133760697"/>
          <c:h val="9.2046220998298081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Driver Cost - Lifetime</a:t>
            </a:r>
          </a:p>
        </c:rich>
      </c:tx>
      <c:layout>
        <c:manualLayout>
          <c:xMode val="edge"/>
          <c:yMode val="edge"/>
          <c:x val="0.11363091332333458"/>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651024090738658"/>
          <c:y val="0.15779622594913337"/>
          <c:w val="0.84110540869891259"/>
          <c:h val="0.67761995291464405"/>
        </c:manualLayout>
      </c:layout>
      <c:barChart>
        <c:barDir val="col"/>
        <c:grouping val="clustered"/>
        <c:varyColors val="0"/>
        <c:ser>
          <c:idx val="0"/>
          <c:order val="0"/>
          <c:tx>
            <c:strRef>
              <c:f>'Maint_Summary (Ref)'!$J$6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D2-4DDD-904E-0C61AAED9940}"/>
                </c:ext>
              </c:extLst>
            </c:dLbl>
            <c:dLbl>
              <c:idx val="1"/>
              <c:layout>
                <c:manualLayout>
                  <c:x val="-1.4869888475836431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D2-4DDD-904E-0C61AAED9940}"/>
                </c:ext>
              </c:extLst>
            </c:dLbl>
            <c:dLbl>
              <c:idx val="2"/>
              <c:layout>
                <c:manualLayout>
                  <c:x val="-1.23915737298637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D2-4DDD-904E-0C61AAED9940}"/>
                </c:ext>
              </c:extLst>
            </c:dLbl>
            <c:dLbl>
              <c:idx val="3"/>
              <c:layout>
                <c:manualLayout>
                  <c:x val="-1.2391573729863693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D2-4DDD-904E-0C61AAED9940}"/>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(Ref)'!$V$8:$V$11</c:f>
              <c:numCache>
                <c:formatCode>_("$"* #,##0_);_("$"* \(#,##0\);_("$"* "-"??_);_(@_)</c:formatCode>
                <c:ptCount val="4"/>
                <c:pt idx="0">
                  <c:v>1779.3000000000002</c:v>
                </c:pt>
                <c:pt idx="1">
                  <c:v>120</c:v>
                </c:pt>
                <c:pt idx="2">
                  <c:v>172.25</c:v>
                </c:pt>
                <c:pt idx="3">
                  <c:v>400</c:v>
                </c:pt>
              </c:numCache>
            </c:numRef>
          </c:val>
          <c:extLst>
            <c:ext xmlns:c16="http://schemas.microsoft.com/office/drawing/2014/chart" uri="{C3380CC4-5D6E-409C-BE32-E72D297353CC}">
              <c16:uniqueId val="{00000004-3CD2-4DDD-904E-0C61AAED9940}"/>
            </c:ext>
          </c:extLst>
        </c:ser>
        <c:ser>
          <c:idx val="1"/>
          <c:order val="1"/>
          <c:tx>
            <c:strRef>
              <c:f>'Maint_Summary (Ref)'!$O$6</c:f>
              <c:strCache>
                <c:ptCount val="1"/>
                <c:pt idx="0">
                  <c:v>Retrofit 2</c:v>
                </c:pt>
              </c:strCache>
            </c:strRef>
          </c:tx>
          <c:spPr>
            <a:solidFill>
              <a:schemeClr val="accent5"/>
            </a:solidFill>
            <a:ln w="12700">
              <a:solidFill>
                <a:schemeClr val="tx1"/>
              </a:solidFill>
            </a:ln>
            <a:effectLst/>
          </c:spPr>
          <c:invertIfNegative val="0"/>
          <c:dLbls>
            <c:dLbl>
              <c:idx val="0"/>
              <c:layout>
                <c:manualLayout>
                  <c:x val="1.23915737298636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D2-4DDD-904E-0C61AAED9940}"/>
                </c:ext>
              </c:extLst>
            </c:dLbl>
            <c:dLbl>
              <c:idx val="1"/>
              <c:layout>
                <c:manualLayout>
                  <c:x val="4.9566294919454771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D2-4DDD-904E-0C61AAED9940}"/>
                </c:ext>
              </c:extLst>
            </c:dLbl>
            <c:dLbl>
              <c:idx val="2"/>
              <c:layout>
                <c:manualLayout>
                  <c:x val="7.434944237918125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CD2-4DDD-904E-0C61AAED9940}"/>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(Ref)'!$AA$8:$AA$11</c:f>
              <c:numCache>
                <c:formatCode>_("$"* #,##0_);_("$"* \(#,##0\);_("$"* "-"??_);_(@_)</c:formatCode>
                <c:ptCount val="4"/>
                <c:pt idx="0">
                  <c:v>1779.3000000000002</c:v>
                </c:pt>
                <c:pt idx="1">
                  <c:v>120</c:v>
                </c:pt>
                <c:pt idx="2">
                  <c:v>172.25</c:v>
                </c:pt>
                <c:pt idx="3">
                  <c:v>400</c:v>
                </c:pt>
              </c:numCache>
            </c:numRef>
          </c:val>
          <c:extLst>
            <c:ext xmlns:c16="http://schemas.microsoft.com/office/drawing/2014/chart" uri="{C3380CC4-5D6E-409C-BE32-E72D297353CC}">
              <c16:uniqueId val="{00000008-3CD2-4DDD-904E-0C61AAED9940}"/>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in val="0"/>
        </c:scaling>
        <c:delete val="0"/>
        <c:axPos val="l"/>
        <c:numFmt formatCode="&quot;$&quot;\ 0,\ \k"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49570666120266565"/>
          <c:y val="4.4854567757131834E-2"/>
          <c:w val="0.47951019133760697"/>
          <c:h val="9.2046220998298081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Cleaning Cost - Lifetime</a:t>
            </a:r>
          </a:p>
        </c:rich>
      </c:tx>
      <c:layout>
        <c:manualLayout>
          <c:xMode val="edge"/>
          <c:yMode val="edge"/>
          <c:x val="0.11363091332333458"/>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651024090738658"/>
          <c:y val="0.15779622594913337"/>
          <c:w val="0.84110540869891259"/>
          <c:h val="0.67761995291464405"/>
        </c:manualLayout>
      </c:layout>
      <c:barChart>
        <c:barDir val="col"/>
        <c:grouping val="clustered"/>
        <c:varyColors val="0"/>
        <c:ser>
          <c:idx val="0"/>
          <c:order val="0"/>
          <c:tx>
            <c:strRef>
              <c:f>'Maint_Summary (Ref)'!$J$6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61-44BE-A908-09AB4FD5FF1F}"/>
                </c:ext>
              </c:extLst>
            </c:dLbl>
            <c:dLbl>
              <c:idx val="1"/>
              <c:layout>
                <c:manualLayout>
                  <c:x val="-1.4869888475836431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61-44BE-A908-09AB4FD5FF1F}"/>
                </c:ext>
              </c:extLst>
            </c:dLbl>
            <c:dLbl>
              <c:idx val="2"/>
              <c:layout>
                <c:manualLayout>
                  <c:x val="-1.23915737298637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61-44BE-A908-09AB4FD5FF1F}"/>
                </c:ext>
              </c:extLst>
            </c:dLbl>
            <c:dLbl>
              <c:idx val="3"/>
              <c:layout>
                <c:manualLayout>
                  <c:x val="-1.2391573729863693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61-44BE-A908-09AB4FD5FF1F}"/>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(Ref)'!$W$8:$W$11</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4-2361-44BE-A908-09AB4FD5FF1F}"/>
            </c:ext>
          </c:extLst>
        </c:ser>
        <c:ser>
          <c:idx val="1"/>
          <c:order val="1"/>
          <c:tx>
            <c:strRef>
              <c:f>'Maint_Summary (Ref)'!$O$6</c:f>
              <c:strCache>
                <c:ptCount val="1"/>
                <c:pt idx="0">
                  <c:v>Retrofit 2</c:v>
                </c:pt>
              </c:strCache>
            </c:strRef>
          </c:tx>
          <c:spPr>
            <a:solidFill>
              <a:schemeClr val="accent5"/>
            </a:solidFill>
            <a:ln w="12700">
              <a:solidFill>
                <a:schemeClr val="tx1"/>
              </a:solidFill>
            </a:ln>
            <a:effectLst/>
          </c:spPr>
          <c:invertIfNegative val="0"/>
          <c:dLbls>
            <c:dLbl>
              <c:idx val="0"/>
              <c:layout>
                <c:manualLayout>
                  <c:x val="1.23915737298636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61-44BE-A908-09AB4FD5FF1F}"/>
                </c:ext>
              </c:extLst>
            </c:dLbl>
            <c:dLbl>
              <c:idx val="1"/>
              <c:layout>
                <c:manualLayout>
                  <c:x val="4.9566294919454771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61-44BE-A908-09AB4FD5FF1F}"/>
                </c:ext>
              </c:extLst>
            </c:dLbl>
            <c:dLbl>
              <c:idx val="2"/>
              <c:layout>
                <c:manualLayout>
                  <c:x val="7.434944237918125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361-44BE-A908-09AB4FD5FF1F}"/>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(Ref)'!$AB$8:$AB$11</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8-2361-44BE-A908-09AB4FD5FF1F}"/>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in val="0"/>
        </c:scaling>
        <c:delete val="0"/>
        <c:axPos val="l"/>
        <c:numFmt formatCode="&quot;$&quot;#,##0"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49570666120266565"/>
          <c:y val="4.4854567757131834E-2"/>
          <c:w val="0.47951019133760697"/>
          <c:h val="9.2046220998298081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Total Cost - Lifetime</a:t>
            </a:r>
          </a:p>
        </c:rich>
      </c:tx>
      <c:layout>
        <c:manualLayout>
          <c:xMode val="edge"/>
          <c:yMode val="edge"/>
          <c:x val="0.11363091332333458"/>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651024090738658"/>
          <c:y val="0.15779622594913337"/>
          <c:w val="0.84110540869891259"/>
          <c:h val="0.67761995291464405"/>
        </c:manualLayout>
      </c:layout>
      <c:barChart>
        <c:barDir val="col"/>
        <c:grouping val="clustered"/>
        <c:varyColors val="0"/>
        <c:ser>
          <c:idx val="0"/>
          <c:order val="0"/>
          <c:tx>
            <c:strRef>
              <c:f>'Maint_Summary (Ref)'!$J$6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13-4761-B843-C773F9AAA38C}"/>
                </c:ext>
              </c:extLst>
            </c:dLbl>
            <c:dLbl>
              <c:idx val="1"/>
              <c:layout>
                <c:manualLayout>
                  <c:x val="-1.4869888475836431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13-4761-B843-C773F9AAA38C}"/>
                </c:ext>
              </c:extLst>
            </c:dLbl>
            <c:dLbl>
              <c:idx val="2"/>
              <c:layout>
                <c:manualLayout>
                  <c:x val="-1.23915737298637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13-4761-B843-C773F9AAA38C}"/>
                </c:ext>
              </c:extLst>
            </c:dLbl>
            <c:dLbl>
              <c:idx val="3"/>
              <c:layout>
                <c:manualLayout>
                  <c:x val="-1.2391573729863693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13-4761-B843-C773F9AAA38C}"/>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(Ref)'!$X$8:$X$11</c:f>
              <c:numCache>
                <c:formatCode>_("$"* #,##0_);_("$"* \(#,##0\);_("$"* "-"??_);_(@_)</c:formatCode>
                <c:ptCount val="4"/>
                <c:pt idx="0">
                  <c:v>2580.9296078400002</c:v>
                </c:pt>
                <c:pt idx="1">
                  <c:v>185.31771840000002</c:v>
                </c:pt>
                <c:pt idx="2">
                  <c:v>269.94998614999997</c:v>
                </c:pt>
                <c:pt idx="3">
                  <c:v>680.65538399999991</c:v>
                </c:pt>
              </c:numCache>
            </c:numRef>
          </c:val>
          <c:extLst>
            <c:ext xmlns:c16="http://schemas.microsoft.com/office/drawing/2014/chart" uri="{C3380CC4-5D6E-409C-BE32-E72D297353CC}">
              <c16:uniqueId val="{00000004-FE13-4761-B843-C773F9AAA38C}"/>
            </c:ext>
          </c:extLst>
        </c:ser>
        <c:ser>
          <c:idx val="1"/>
          <c:order val="1"/>
          <c:tx>
            <c:strRef>
              <c:f>'Maint_Summary (Ref)'!$O$6</c:f>
              <c:strCache>
                <c:ptCount val="1"/>
                <c:pt idx="0">
                  <c:v>Retrofit 2</c:v>
                </c:pt>
              </c:strCache>
            </c:strRef>
          </c:tx>
          <c:spPr>
            <a:solidFill>
              <a:schemeClr val="accent5"/>
            </a:solidFill>
            <a:ln w="12700">
              <a:solidFill>
                <a:schemeClr val="tx1"/>
              </a:solidFill>
            </a:ln>
            <a:effectLst/>
          </c:spPr>
          <c:invertIfNegative val="0"/>
          <c:dLbls>
            <c:dLbl>
              <c:idx val="0"/>
              <c:layout>
                <c:manualLayout>
                  <c:x val="1.23915737298636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13-4761-B843-C773F9AAA38C}"/>
                </c:ext>
              </c:extLst>
            </c:dLbl>
            <c:dLbl>
              <c:idx val="1"/>
              <c:layout>
                <c:manualLayout>
                  <c:x val="4.9566294919454771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13-4761-B843-C773F9AAA38C}"/>
                </c:ext>
              </c:extLst>
            </c:dLbl>
            <c:dLbl>
              <c:idx val="2"/>
              <c:layout>
                <c:manualLayout>
                  <c:x val="7.434944237918125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13-4761-B843-C773F9AAA38C}"/>
                </c:ext>
              </c:extLst>
            </c:dLbl>
            <c:numFmt formatCode="&quot;$&quot;0.0,\k"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(Ref)'!$AC$8:$AC$11</c:f>
              <c:numCache>
                <c:formatCode>_("$"* #,##0_);_("$"* \(#,##0\);_("$"* "-"??_);_(@_)</c:formatCode>
                <c:ptCount val="4"/>
                <c:pt idx="0">
                  <c:v>2603.2902659609999</c:v>
                </c:pt>
                <c:pt idx="1">
                  <c:v>213.72511500000002</c:v>
                </c:pt>
                <c:pt idx="2">
                  <c:v>269.94998614999997</c:v>
                </c:pt>
                <c:pt idx="3">
                  <c:v>817.05244499999992</c:v>
                </c:pt>
              </c:numCache>
            </c:numRef>
          </c:val>
          <c:extLst>
            <c:ext xmlns:c16="http://schemas.microsoft.com/office/drawing/2014/chart" uri="{C3380CC4-5D6E-409C-BE32-E72D297353CC}">
              <c16:uniqueId val="{00000008-FE13-4761-B843-C773F9AAA38C}"/>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in val="0"/>
        </c:scaling>
        <c:delete val="0"/>
        <c:axPos val="l"/>
        <c:numFmt formatCode="&quot;$&quot;\ 0,\ \k"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49570666120266565"/>
          <c:y val="4.4854567757131834E-2"/>
          <c:w val="0.47951019133760697"/>
          <c:h val="9.2046220998298081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Driver Cost - Yearly</a:t>
            </a:r>
          </a:p>
        </c:rich>
      </c:tx>
      <c:layout>
        <c:manualLayout>
          <c:xMode val="edge"/>
          <c:yMode val="edge"/>
          <c:x val="0.11363091332333458"/>
          <c:y val="4.90895705121260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651024090738658"/>
          <c:y val="0.15779622594913337"/>
          <c:w val="0.84110540869891259"/>
          <c:h val="0.67761995291464405"/>
        </c:manualLayout>
      </c:layout>
      <c:barChart>
        <c:barDir val="col"/>
        <c:grouping val="clustered"/>
        <c:varyColors val="0"/>
        <c:ser>
          <c:idx val="0"/>
          <c:order val="0"/>
          <c:tx>
            <c:strRef>
              <c:f>'Maint_Summary (Ref)'!$J$6</c:f>
              <c:strCache>
                <c:ptCount val="1"/>
                <c:pt idx="0">
                  <c:v>Retrofit 1</c:v>
                </c:pt>
              </c:strCache>
            </c:strRef>
          </c:tx>
          <c:spPr>
            <a:solidFill>
              <a:schemeClr val="accent5">
                <a:lumMod val="20000"/>
                <a:lumOff val="80000"/>
              </a:schemeClr>
            </a:solidFill>
            <a:ln w="12700">
              <a:solidFill>
                <a:sysClr val="windowText" lastClr="000000"/>
              </a:solidFill>
            </a:ln>
            <a:effectLst/>
          </c:spPr>
          <c:invertIfNegative val="0"/>
          <c:dLbls>
            <c:dLbl>
              <c:idx val="0"/>
              <c:layout>
                <c:manualLayout>
                  <c:x val="-1.4869888475836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B9-47E4-A918-55ADF9602058}"/>
                </c:ext>
              </c:extLst>
            </c:dLbl>
            <c:dLbl>
              <c:idx val="1"/>
              <c:layout>
                <c:manualLayout>
                  <c:x val="-1.4869888475836431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B9-47E4-A918-55ADF9602058}"/>
                </c:ext>
              </c:extLst>
            </c:dLbl>
            <c:dLbl>
              <c:idx val="2"/>
              <c:layout>
                <c:manualLayout>
                  <c:x val="-1.23915737298637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B9-47E4-A918-55ADF9602058}"/>
                </c:ext>
              </c:extLst>
            </c:dLbl>
            <c:dLbl>
              <c:idx val="3"/>
              <c:layout>
                <c:manualLayout>
                  <c:x val="-1.2391573729863693E-2"/>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B9-47E4-A918-55ADF9602058}"/>
                </c:ext>
              </c:extLst>
            </c:dLbl>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(Ref)'!$K$8:$K$11</c:f>
              <c:numCache>
                <c:formatCode>_("$"* #,##0_);_("$"* \(#,##0\);_("$"* "-"??_);_(@_)</c:formatCode>
                <c:ptCount val="4"/>
                <c:pt idx="0">
                  <c:v>88.965000000000003</c:v>
                </c:pt>
                <c:pt idx="1">
                  <c:v>6</c:v>
                </c:pt>
                <c:pt idx="2">
                  <c:v>8.6125000000000007</c:v>
                </c:pt>
                <c:pt idx="3">
                  <c:v>20</c:v>
                </c:pt>
              </c:numCache>
            </c:numRef>
          </c:val>
          <c:extLst>
            <c:ext xmlns:c16="http://schemas.microsoft.com/office/drawing/2014/chart" uri="{C3380CC4-5D6E-409C-BE32-E72D297353CC}">
              <c16:uniqueId val="{00000004-6FB9-47E4-A918-55ADF9602058}"/>
            </c:ext>
          </c:extLst>
        </c:ser>
        <c:ser>
          <c:idx val="1"/>
          <c:order val="1"/>
          <c:tx>
            <c:strRef>
              <c:f>'Maint_Summary (Ref)'!$O$6</c:f>
              <c:strCache>
                <c:ptCount val="1"/>
                <c:pt idx="0">
                  <c:v>Retrofit 2</c:v>
                </c:pt>
              </c:strCache>
            </c:strRef>
          </c:tx>
          <c:spPr>
            <a:solidFill>
              <a:schemeClr val="accent5"/>
            </a:solidFill>
            <a:ln w="12700">
              <a:solidFill>
                <a:schemeClr val="tx1"/>
              </a:solidFill>
            </a:ln>
            <a:effectLst/>
          </c:spPr>
          <c:invertIfNegative val="0"/>
          <c:dLbls>
            <c:dLbl>
              <c:idx val="0"/>
              <c:layout>
                <c:manualLayout>
                  <c:x val="1.23915737298636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B9-47E4-A918-55ADF9602058}"/>
                </c:ext>
              </c:extLst>
            </c:dLbl>
            <c:dLbl>
              <c:idx val="1"/>
              <c:layout>
                <c:manualLayout>
                  <c:x val="4.9566294919454771E-3"/>
                  <c:y val="6.78062451740625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B9-47E4-A918-55ADF9602058}"/>
                </c:ext>
              </c:extLst>
            </c:dLbl>
            <c:dLbl>
              <c:idx val="2"/>
              <c:layout>
                <c:manualLayout>
                  <c:x val="7.434944237918125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FB9-47E4-A918-55ADF9602058}"/>
                </c:ext>
              </c:extLst>
            </c:dLbl>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'Maint_Summary (Ref)'!$I$8:$I$11</c:f>
              <c:strCache>
                <c:ptCount val="4"/>
                <c:pt idx="0">
                  <c:v>Model High School</c:v>
                </c:pt>
                <c:pt idx="1">
                  <c:v>College Ave (Roadway)</c:v>
                </c:pt>
                <c:pt idx="2">
                  <c:v>College Ave (Area)</c:v>
                </c:pt>
                <c:pt idx="3">
                  <c:v>College Ave (Decorative)</c:v>
                </c:pt>
              </c:strCache>
            </c:strRef>
          </c:cat>
          <c:val>
            <c:numRef>
              <c:f>'Maint_Summary (Ref)'!$P$8:$P$11</c:f>
              <c:numCache>
                <c:formatCode>_("$"* #,##0_);_("$"* \(#,##0\);_("$"* "-"??_);_(@_)</c:formatCode>
                <c:ptCount val="4"/>
                <c:pt idx="0">
                  <c:v>88.965000000000003</c:v>
                </c:pt>
                <c:pt idx="1">
                  <c:v>6</c:v>
                </c:pt>
                <c:pt idx="2">
                  <c:v>8.6125000000000007</c:v>
                </c:pt>
                <c:pt idx="3">
                  <c:v>20</c:v>
                </c:pt>
              </c:numCache>
            </c:numRef>
          </c:val>
          <c:extLst>
            <c:ext xmlns:c16="http://schemas.microsoft.com/office/drawing/2014/chart" uri="{C3380CC4-5D6E-409C-BE32-E72D297353CC}">
              <c16:uniqueId val="{00000008-6FB9-47E4-A918-55ADF9602058}"/>
            </c:ext>
          </c:extLst>
        </c:ser>
        <c:dLbls>
          <c:showLegendKey val="0"/>
          <c:showVal val="0"/>
          <c:showCatName val="0"/>
          <c:showSerName val="0"/>
          <c:showPercent val="0"/>
          <c:showBubbleSize val="0"/>
        </c:dLbls>
        <c:gapWidth val="219"/>
        <c:overlap val="-27"/>
        <c:axId val="20643824"/>
        <c:axId val="20644656"/>
      </c:barChart>
      <c:catAx>
        <c:axId val="20643824"/>
        <c:scaling>
          <c:orientation val="minMax"/>
        </c:scaling>
        <c:delete val="0"/>
        <c:axPos val="b"/>
        <c:numFmt formatCode="General" sourceLinked="1"/>
        <c:majorTickMark val="none"/>
        <c:minorTickMark val="none"/>
        <c:tickLblPos val="nextTo"/>
        <c:spPr>
          <a:no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4656"/>
        <c:crosses val="autoZero"/>
        <c:auto val="1"/>
        <c:lblAlgn val="ctr"/>
        <c:lblOffset val="100"/>
        <c:noMultiLvlLbl val="0"/>
      </c:catAx>
      <c:valAx>
        <c:axId val="20644656"/>
        <c:scaling>
          <c:orientation val="minMax"/>
          <c:min val="0"/>
        </c:scaling>
        <c:delete val="0"/>
        <c:axPos val="l"/>
        <c:numFmt formatCode="_(&quot;$&quot;* #,##0_);_(&quot;$&quot;* \(#,##0\);_(&quot;$&quot;* &quot;-&quot;_);_(@_)" sourceLinked="0"/>
        <c:majorTickMark val="in"/>
        <c:minorTickMark val="none"/>
        <c:tickLblPos val="nextTo"/>
        <c:spPr>
          <a:noFill/>
          <a:ln w="12700">
            <a:solidFill>
              <a:sysClr val="windowText" lastClr="000000"/>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20643824"/>
        <c:crosses val="autoZero"/>
        <c:crossBetween val="between"/>
      </c:valAx>
      <c:spPr>
        <a:noFill/>
        <a:ln w="12700">
          <a:solidFill>
            <a:sysClr val="windowText" lastClr="000000"/>
          </a:solidFill>
        </a:ln>
        <a:effectLst/>
      </c:spPr>
    </c:plotArea>
    <c:legend>
      <c:legendPos val="r"/>
      <c:layout>
        <c:manualLayout>
          <c:xMode val="edge"/>
          <c:yMode val="edge"/>
          <c:x val="0.49570666120266565"/>
          <c:y val="4.4854567757131834E-2"/>
          <c:w val="0.47951019133760697"/>
          <c:h val="9.2046220998298081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b="0">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 Id="rId9"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3</xdr:col>
      <xdr:colOff>2200275</xdr:colOff>
      <xdr:row>0</xdr:row>
      <xdr:rowOff>161925</xdr:rowOff>
    </xdr:from>
    <xdr:to>
      <xdr:col>3</xdr:col>
      <xdr:colOff>3810000</xdr:colOff>
      <xdr:row>0</xdr:row>
      <xdr:rowOff>764422</xdr:rowOff>
    </xdr:to>
    <xdr:pic>
      <xdr:nvPicPr>
        <xdr:cNvPr id="3" name="Picture 2">
          <a:extLst>
            <a:ext uri="{FF2B5EF4-FFF2-40B4-BE49-F238E27FC236}">
              <a16:creationId xmlns:a16="http://schemas.microsoft.com/office/drawing/2014/main" id="{9A8B7330-700E-D699-4A40-9403016D6E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62275" y="161925"/>
          <a:ext cx="1609725" cy="6024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8</xdr:col>
      <xdr:colOff>200025</xdr:colOff>
      <xdr:row>31</xdr:row>
      <xdr:rowOff>4764</xdr:rowOff>
    </xdr:to>
    <xdr:graphicFrame macro="">
      <xdr:nvGraphicFramePr>
        <xdr:cNvPr id="4" name="Chart 3">
          <a:extLst>
            <a:ext uri="{FF2B5EF4-FFF2-40B4-BE49-F238E27FC236}">
              <a16:creationId xmlns:a16="http://schemas.microsoft.com/office/drawing/2014/main" id="{87EF69DF-7087-493C-8B00-69543298AB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0</xdr:colOff>
      <xdr:row>32</xdr:row>
      <xdr:rowOff>0</xdr:rowOff>
    </xdr:from>
    <xdr:to>
      <xdr:col>8</xdr:col>
      <xdr:colOff>200025</xdr:colOff>
      <xdr:row>50</xdr:row>
      <xdr:rowOff>4764</xdr:rowOff>
    </xdr:to>
    <xdr:graphicFrame macro="">
      <xdr:nvGraphicFramePr>
        <xdr:cNvPr id="6" name="Chart 5">
          <a:extLst>
            <a:ext uri="{FF2B5EF4-FFF2-40B4-BE49-F238E27FC236}">
              <a16:creationId xmlns:a16="http://schemas.microsoft.com/office/drawing/2014/main" id="{06CA8010-C6E9-4D5A-BBBF-83DBE6F60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51</xdr:row>
      <xdr:rowOff>0</xdr:rowOff>
    </xdr:from>
    <xdr:to>
      <xdr:col>8</xdr:col>
      <xdr:colOff>200025</xdr:colOff>
      <xdr:row>69</xdr:row>
      <xdr:rowOff>4764</xdr:rowOff>
    </xdr:to>
    <xdr:graphicFrame macro="">
      <xdr:nvGraphicFramePr>
        <xdr:cNvPr id="7" name="Chart 6">
          <a:extLst>
            <a:ext uri="{FF2B5EF4-FFF2-40B4-BE49-F238E27FC236}">
              <a16:creationId xmlns:a16="http://schemas.microsoft.com/office/drawing/2014/main" id="{A24698D6-2E14-47CA-91DD-DCD93F846E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13</xdr:row>
      <xdr:rowOff>0</xdr:rowOff>
    </xdr:from>
    <xdr:to>
      <xdr:col>14</xdr:col>
      <xdr:colOff>224790</xdr:colOff>
      <xdr:row>31</xdr:row>
      <xdr:rowOff>4764</xdr:rowOff>
    </xdr:to>
    <xdr:graphicFrame macro="">
      <xdr:nvGraphicFramePr>
        <xdr:cNvPr id="3" name="Chart 2">
          <a:extLst>
            <a:ext uri="{FF2B5EF4-FFF2-40B4-BE49-F238E27FC236}">
              <a16:creationId xmlns:a16="http://schemas.microsoft.com/office/drawing/2014/main" id="{E11193F1-2752-400C-897B-0EDFDA21D7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0</xdr:colOff>
      <xdr:row>13</xdr:row>
      <xdr:rowOff>0</xdr:rowOff>
    </xdr:from>
    <xdr:to>
      <xdr:col>25</xdr:col>
      <xdr:colOff>224790</xdr:colOff>
      <xdr:row>31</xdr:row>
      <xdr:rowOff>4764</xdr:rowOff>
    </xdr:to>
    <xdr:graphicFrame macro="">
      <xdr:nvGraphicFramePr>
        <xdr:cNvPr id="9" name="Chart 8">
          <a:extLst>
            <a:ext uri="{FF2B5EF4-FFF2-40B4-BE49-F238E27FC236}">
              <a16:creationId xmlns:a16="http://schemas.microsoft.com/office/drawing/2014/main" id="{A8923ADF-3B75-4AD6-96C6-1DA4745CD2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19</xdr:col>
      <xdr:colOff>0</xdr:colOff>
      <xdr:row>32</xdr:row>
      <xdr:rowOff>0</xdr:rowOff>
    </xdr:from>
    <xdr:to>
      <xdr:col>25</xdr:col>
      <xdr:colOff>224790</xdr:colOff>
      <xdr:row>50</xdr:row>
      <xdr:rowOff>4764</xdr:rowOff>
    </xdr:to>
    <xdr:graphicFrame macro="">
      <xdr:nvGraphicFramePr>
        <xdr:cNvPr id="5" name="Chart 4">
          <a:extLst>
            <a:ext uri="{FF2B5EF4-FFF2-40B4-BE49-F238E27FC236}">
              <a16:creationId xmlns:a16="http://schemas.microsoft.com/office/drawing/2014/main" id="{692339AC-B14B-4D62-A760-2EA087C0C9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19</xdr:col>
      <xdr:colOff>0</xdr:colOff>
      <xdr:row>51</xdr:row>
      <xdr:rowOff>0</xdr:rowOff>
    </xdr:from>
    <xdr:to>
      <xdr:col>25</xdr:col>
      <xdr:colOff>224790</xdr:colOff>
      <xdr:row>69</xdr:row>
      <xdr:rowOff>4764</xdr:rowOff>
    </xdr:to>
    <xdr:graphicFrame macro="">
      <xdr:nvGraphicFramePr>
        <xdr:cNvPr id="6" name="Chart 5">
          <a:extLst>
            <a:ext uri="{FF2B5EF4-FFF2-40B4-BE49-F238E27FC236}">
              <a16:creationId xmlns:a16="http://schemas.microsoft.com/office/drawing/2014/main" id="{3D469B1D-2F4E-4200-B542-A7390B537C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19</xdr:col>
      <xdr:colOff>0</xdr:colOff>
      <xdr:row>70</xdr:row>
      <xdr:rowOff>0</xdr:rowOff>
    </xdr:from>
    <xdr:to>
      <xdr:col>25</xdr:col>
      <xdr:colOff>224790</xdr:colOff>
      <xdr:row>88</xdr:row>
      <xdr:rowOff>4764</xdr:rowOff>
    </xdr:to>
    <xdr:graphicFrame macro="">
      <xdr:nvGraphicFramePr>
        <xdr:cNvPr id="7" name="Chart 6">
          <a:extLst>
            <a:ext uri="{FF2B5EF4-FFF2-40B4-BE49-F238E27FC236}">
              <a16:creationId xmlns:a16="http://schemas.microsoft.com/office/drawing/2014/main" id="{89083618-6E52-4053-BA83-8D15EAA9B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8</xdr:col>
      <xdr:colOff>0</xdr:colOff>
      <xdr:row>32</xdr:row>
      <xdr:rowOff>0</xdr:rowOff>
    </xdr:from>
    <xdr:to>
      <xdr:col>14</xdr:col>
      <xdr:colOff>224790</xdr:colOff>
      <xdr:row>50</xdr:row>
      <xdr:rowOff>4764</xdr:rowOff>
    </xdr:to>
    <xdr:graphicFrame macro="">
      <xdr:nvGraphicFramePr>
        <xdr:cNvPr id="13" name="Chart 12">
          <a:extLst>
            <a:ext uri="{FF2B5EF4-FFF2-40B4-BE49-F238E27FC236}">
              <a16:creationId xmlns:a16="http://schemas.microsoft.com/office/drawing/2014/main" id="{16EAFCE1-157B-4B0D-A8D6-0B709DB7D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8</xdr:col>
      <xdr:colOff>0</xdr:colOff>
      <xdr:row>51</xdr:row>
      <xdr:rowOff>0</xdr:rowOff>
    </xdr:from>
    <xdr:to>
      <xdr:col>14</xdr:col>
      <xdr:colOff>224790</xdr:colOff>
      <xdr:row>69</xdr:row>
      <xdr:rowOff>4764</xdr:rowOff>
    </xdr:to>
    <xdr:graphicFrame macro="">
      <xdr:nvGraphicFramePr>
        <xdr:cNvPr id="16" name="Chart 15">
          <a:extLst>
            <a:ext uri="{FF2B5EF4-FFF2-40B4-BE49-F238E27FC236}">
              <a16:creationId xmlns:a16="http://schemas.microsoft.com/office/drawing/2014/main" id="{68FD4FB1-920C-4C38-90EE-2A369640B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0</xdr:colOff>
      <xdr:row>70</xdr:row>
      <xdr:rowOff>0</xdr:rowOff>
    </xdr:from>
    <xdr:to>
      <xdr:col>14</xdr:col>
      <xdr:colOff>224790</xdr:colOff>
      <xdr:row>88</xdr:row>
      <xdr:rowOff>4764</xdr:rowOff>
    </xdr:to>
    <xdr:graphicFrame macro="">
      <xdr:nvGraphicFramePr>
        <xdr:cNvPr id="17" name="Chart 16">
          <a:extLst>
            <a:ext uri="{FF2B5EF4-FFF2-40B4-BE49-F238E27FC236}">
              <a16:creationId xmlns:a16="http://schemas.microsoft.com/office/drawing/2014/main" id="{5CCCB6D7-EAD9-4C3B-9D1F-70B620F6ED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xdr:col>
      <xdr:colOff>0</xdr:colOff>
      <xdr:row>13</xdr:row>
      <xdr:rowOff>0</xdr:rowOff>
    </xdr:from>
    <xdr:to>
      <xdr:col>6</xdr:col>
      <xdr:colOff>415290</xdr:colOff>
      <xdr:row>31</xdr:row>
      <xdr:rowOff>4764</xdr:rowOff>
    </xdr:to>
    <xdr:graphicFrame macro="">
      <xdr:nvGraphicFramePr>
        <xdr:cNvPr id="4" name="Chart 3">
          <a:extLst>
            <a:ext uri="{FF2B5EF4-FFF2-40B4-BE49-F238E27FC236}">
              <a16:creationId xmlns:a16="http://schemas.microsoft.com/office/drawing/2014/main" id="{7ADD0947-214F-4AA1-8CFE-A16FA45AA8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124239</xdr:colOff>
      <xdr:row>22</xdr:row>
      <xdr:rowOff>0</xdr:rowOff>
    </xdr:from>
    <xdr:to>
      <xdr:col>5</xdr:col>
      <xdr:colOff>660952</xdr:colOff>
      <xdr:row>48</xdr:row>
      <xdr:rowOff>0</xdr:rowOff>
    </xdr:to>
    <xdr:graphicFrame macro="">
      <xdr:nvGraphicFramePr>
        <xdr:cNvPr id="2" name="Chart 1">
          <a:extLst>
            <a:ext uri="{FF2B5EF4-FFF2-40B4-BE49-F238E27FC236}">
              <a16:creationId xmlns:a16="http://schemas.microsoft.com/office/drawing/2014/main" id="{A77CBFD9-47FA-435D-9A97-8981BAB78A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44</xdr:row>
      <xdr:rowOff>167640</xdr:rowOff>
    </xdr:from>
    <xdr:to>
      <xdr:col>13</xdr:col>
      <xdr:colOff>225287</xdr:colOff>
      <xdr:row>69</xdr:row>
      <xdr:rowOff>167640</xdr:rowOff>
    </xdr:to>
    <xdr:graphicFrame macro="">
      <xdr:nvGraphicFramePr>
        <xdr:cNvPr id="2" name="Chart 1">
          <a:extLst>
            <a:ext uri="{FF2B5EF4-FFF2-40B4-BE49-F238E27FC236}">
              <a16:creationId xmlns:a16="http://schemas.microsoft.com/office/drawing/2014/main" id="{9ED0ED49-2F99-4221-A064-92BAFD6579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18</xdr:row>
      <xdr:rowOff>0</xdr:rowOff>
    </xdr:from>
    <xdr:to>
      <xdr:col>13</xdr:col>
      <xdr:colOff>235226</xdr:colOff>
      <xdr:row>43</xdr:row>
      <xdr:rowOff>175260</xdr:rowOff>
    </xdr:to>
    <xdr:graphicFrame macro="">
      <xdr:nvGraphicFramePr>
        <xdr:cNvPr id="5" name="Chart 4">
          <a:extLst>
            <a:ext uri="{FF2B5EF4-FFF2-40B4-BE49-F238E27FC236}">
              <a16:creationId xmlns:a16="http://schemas.microsoft.com/office/drawing/2014/main" id="{F79B2CFF-41D4-4883-9389-4D54FF789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30480</xdr:colOff>
      <xdr:row>71</xdr:row>
      <xdr:rowOff>49530</xdr:rowOff>
    </xdr:from>
    <xdr:to>
      <xdr:col>13</xdr:col>
      <xdr:colOff>255767</xdr:colOff>
      <xdr:row>96</xdr:row>
      <xdr:rowOff>22860</xdr:rowOff>
    </xdr:to>
    <xdr:graphicFrame macro="">
      <xdr:nvGraphicFramePr>
        <xdr:cNvPr id="3" name="Chart 2">
          <a:extLst>
            <a:ext uri="{FF2B5EF4-FFF2-40B4-BE49-F238E27FC236}">
              <a16:creationId xmlns:a16="http://schemas.microsoft.com/office/drawing/2014/main" id="{BF8C70EA-B7C8-4E48-6A75-35FD7CC191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NL\Projects\Documents%20and%20Settings\nadalm\Local%20Settings\Temporary%20Internet%20Files\Content.Outlook\LNDJH9QE\CQS%209%200%20a%20(Wi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ropbox\Professional\IES\IES%20Color%20Committee\TM-30-18_tools_etc\TM-30-18_tools_etc%20(3)\ANSI-IES%20TM-30-18%20Basic%20Calculation%20Tool%20v2.00(pm).xlsm" TargetMode="External"/><Relationship Id="rId1" Type="http://schemas.openxmlformats.org/officeDocument/2006/relationships/externalLinkPath" Target="file:///D:\Dropbox\Professional\IES\IES%20Color%20Committee\TM-30-18_tools_etc\TM-30-18_tools_etc%20(3)\ANSI-IES%20TM-30-18%20Basic%20Calculation%20Tool%20v2.00(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_UCS"/>
      <sheetName val="Version notes"/>
      <sheetName val="Instruction"/>
      <sheetName val="Color View"/>
      <sheetName val="Lamp data &amp; Results"/>
      <sheetName val="u'v' diagram"/>
      <sheetName val="CAM_UCS plot"/>
      <sheetName val="3 LED model"/>
      <sheetName val="4 LED model"/>
      <sheetName val="Broadband model"/>
      <sheetName val="Munsell samples"/>
      <sheetName val="TSC"/>
      <sheetName val="CQS"/>
      <sheetName val="CRI"/>
      <sheetName val="Reference"/>
      <sheetName val="Chromaticity"/>
      <sheetName val="C Adapt"/>
      <sheetName val="TSC work"/>
      <sheetName val="x y diagram"/>
      <sheetName val="RBG conversion"/>
      <sheetName val="CMCCAT-h"/>
      <sheetName val="CMCCAT-v"/>
      <sheetName val="CIELAB"/>
      <sheetName val="Duvtoxy"/>
      <sheetName val="CCT.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on Notes"/>
      <sheetName val="Instructions"/>
      <sheetName val="Calculator"/>
      <sheetName val="Results Graphical"/>
      <sheetName val="Results Numerical"/>
      <sheetName val="CVG"/>
      <sheetName val="CVG (Dynamic)"/>
      <sheetName val="Simple Report"/>
      <sheetName val="Intermediate Report"/>
      <sheetName val="Full Report"/>
      <sheetName val="SPD Library"/>
      <sheetName val="CES"/>
      <sheetName val="CMF"/>
      <sheetName val="RefCalc"/>
      <sheetName val="CCTCal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theme/theme1.xml><?xml version="1.0" encoding="utf-8"?>
<a:theme xmlns:a="http://schemas.openxmlformats.org/drawingml/2006/main" name="Office 2013 - 2022 Theme">
  <a:themeElements>
    <a:clrScheme name="Custom 1">
      <a:dk1>
        <a:sysClr val="windowText" lastClr="000000"/>
      </a:dk1>
      <a:lt1>
        <a:sysClr val="window" lastClr="FFFFFF"/>
      </a:lt1>
      <a:dk2>
        <a:srgbClr val="44546A"/>
      </a:dk2>
      <a:lt2>
        <a:srgbClr val="E7E6E6"/>
      </a:lt2>
      <a:accent1>
        <a:srgbClr val="0086C9"/>
      </a:accent1>
      <a:accent2>
        <a:srgbClr val="EA734D"/>
      </a:accent2>
      <a:accent3>
        <a:srgbClr val="97CB59"/>
      </a:accent3>
      <a:accent4>
        <a:srgbClr val="FFCB05"/>
      </a:accent4>
      <a:accent5>
        <a:srgbClr val="4FC6E0"/>
      </a:accent5>
      <a:accent6>
        <a:srgbClr val="00795F"/>
      </a:accent6>
      <a:hlink>
        <a:srgbClr val="A787B3"/>
      </a:hlink>
      <a:folHlink>
        <a:srgbClr val="774D83"/>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hyperlink" Target="https://lumileds.com/wp-content/uploads/files/WP15.pdf" TargetMode="External"/><Relationship Id="rId2" Type="http://schemas.openxmlformats.org/officeDocument/2006/relationships/hyperlink" Target="http://www.electronics-articles.com/LED040/en-led-drivers-reliability-and-performance-factors.html" TargetMode="External"/><Relationship Id="rId1" Type="http://schemas.openxmlformats.org/officeDocument/2006/relationships/hyperlink" Target="https://www.forge.co.uk/resource-hub/led-driver-failur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hyperlink" Target="mailto:C2@180%20R2" TargetMode="External"/><Relationship Id="rId7" Type="http://schemas.openxmlformats.org/officeDocument/2006/relationships/printerSettings" Target="../printerSettings/printerSettings2.bin"/><Relationship Id="rId2" Type="http://schemas.openxmlformats.org/officeDocument/2006/relationships/hyperlink" Target="mailto:B2@180%20TWIN%20R1" TargetMode="External"/><Relationship Id="rId1" Type="http://schemas.openxmlformats.org/officeDocument/2006/relationships/hyperlink" Target="mailto:C2@180%20R1" TargetMode="External"/><Relationship Id="rId6" Type="http://schemas.openxmlformats.org/officeDocument/2006/relationships/hyperlink" Target="mailto:B2@180" TargetMode="External"/><Relationship Id="rId5" Type="http://schemas.openxmlformats.org/officeDocument/2006/relationships/hyperlink" Target="mailto:C2@180%20R2" TargetMode="External"/><Relationship Id="rId4" Type="http://schemas.openxmlformats.org/officeDocument/2006/relationships/hyperlink" Target="mailto:C2@180%20R2"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mailto:B2@180%20TWIN%20R1" TargetMode="External"/><Relationship Id="rId7" Type="http://schemas.openxmlformats.org/officeDocument/2006/relationships/printerSettings" Target="../printerSettings/printerSettings3.bin"/><Relationship Id="rId2" Type="http://schemas.openxmlformats.org/officeDocument/2006/relationships/hyperlink" Target="mailto:C2@180%20R1" TargetMode="External"/><Relationship Id="rId1" Type="http://schemas.openxmlformats.org/officeDocument/2006/relationships/hyperlink" Target="mailto:B2@180%20R1" TargetMode="External"/><Relationship Id="rId6" Type="http://schemas.openxmlformats.org/officeDocument/2006/relationships/hyperlink" Target="mailto:C2@180%20R2" TargetMode="External"/><Relationship Id="rId5" Type="http://schemas.openxmlformats.org/officeDocument/2006/relationships/hyperlink" Target="mailto:C2@180%20R2" TargetMode="External"/><Relationship Id="rId4" Type="http://schemas.openxmlformats.org/officeDocument/2006/relationships/hyperlink" Target="mailto:C2@180%20R2"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hyperlink" Target="mailto:AR2@180" TargetMode="External"/><Relationship Id="rId3" Type="http://schemas.openxmlformats.org/officeDocument/2006/relationships/hyperlink" Target="mailto:C2@180%20R2" TargetMode="External"/><Relationship Id="rId7" Type="http://schemas.openxmlformats.org/officeDocument/2006/relationships/hyperlink" Target="mailto:AR2@180_B" TargetMode="External"/><Relationship Id="rId2" Type="http://schemas.openxmlformats.org/officeDocument/2006/relationships/hyperlink" Target="mailto:C2@180%20R2" TargetMode="External"/><Relationship Id="rId1" Type="http://schemas.openxmlformats.org/officeDocument/2006/relationships/hyperlink" Target="mailto:B2@180%20TWIN%20R2" TargetMode="External"/><Relationship Id="rId6" Type="http://schemas.openxmlformats.org/officeDocument/2006/relationships/hyperlink" Target="mailto:B2@180%20R2_B" TargetMode="External"/><Relationship Id="rId11" Type="http://schemas.openxmlformats.org/officeDocument/2006/relationships/comments" Target="../comments3.xml"/><Relationship Id="rId5" Type="http://schemas.openxmlformats.org/officeDocument/2006/relationships/hyperlink" Target="mailto:C2@180%20R2B" TargetMode="External"/><Relationship Id="rId10" Type="http://schemas.openxmlformats.org/officeDocument/2006/relationships/vmlDrawing" Target="../drawings/vmlDrawing3.vml"/><Relationship Id="rId4" Type="http://schemas.openxmlformats.org/officeDocument/2006/relationships/hyperlink" Target="mailto:C2@180%20R2" TargetMode="External"/><Relationship Id="rId9"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hyperlink" Target="mailto:B2@180%20TWIN" TargetMode="External"/><Relationship Id="rId2" Type="http://schemas.openxmlformats.org/officeDocument/2006/relationships/hyperlink" Target="mailto:C2@180" TargetMode="External"/><Relationship Id="rId1" Type="http://schemas.openxmlformats.org/officeDocument/2006/relationships/hyperlink" Target="mailto:B2@180"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hyperlink" Target="mailto:B2@180%20TWIN%20R1" TargetMode="External"/><Relationship Id="rId7" Type="http://schemas.openxmlformats.org/officeDocument/2006/relationships/printerSettings" Target="../printerSettings/printerSettings6.bin"/><Relationship Id="rId2" Type="http://schemas.openxmlformats.org/officeDocument/2006/relationships/hyperlink" Target="mailto:C2@180%20R1" TargetMode="External"/><Relationship Id="rId1" Type="http://schemas.openxmlformats.org/officeDocument/2006/relationships/hyperlink" Target="mailto:B2@180%20R1" TargetMode="External"/><Relationship Id="rId6" Type="http://schemas.openxmlformats.org/officeDocument/2006/relationships/hyperlink" Target="mailto:C2@180%20R2" TargetMode="External"/><Relationship Id="rId5" Type="http://schemas.openxmlformats.org/officeDocument/2006/relationships/hyperlink" Target="mailto:C2@180%20R2" TargetMode="External"/><Relationship Id="rId4" Type="http://schemas.openxmlformats.org/officeDocument/2006/relationships/hyperlink" Target="mailto:C2@180%20R2" TargetMode="External"/><Relationship Id="rId9" Type="http://schemas.openxmlformats.org/officeDocument/2006/relationships/comments" Target="../comments5.xml"/></Relationships>
</file>

<file path=xl/worksheets/_rels/sheet9.xml.rels><?xml version="1.0" encoding="UTF-8" standalone="yes"?>
<Relationships xmlns="http://schemas.openxmlformats.org/package/2006/relationships"><Relationship Id="rId8" Type="http://schemas.openxmlformats.org/officeDocument/2006/relationships/hyperlink" Target="mailto:AR2@180" TargetMode="External"/><Relationship Id="rId3" Type="http://schemas.openxmlformats.org/officeDocument/2006/relationships/hyperlink" Target="mailto:C2@180%20R2" TargetMode="External"/><Relationship Id="rId7" Type="http://schemas.openxmlformats.org/officeDocument/2006/relationships/hyperlink" Target="mailto:AR2@180_B" TargetMode="External"/><Relationship Id="rId2" Type="http://schemas.openxmlformats.org/officeDocument/2006/relationships/hyperlink" Target="mailto:C2@180%20R2" TargetMode="External"/><Relationship Id="rId1" Type="http://schemas.openxmlformats.org/officeDocument/2006/relationships/hyperlink" Target="mailto:B2@180%20TWIN%20R2" TargetMode="External"/><Relationship Id="rId6" Type="http://schemas.openxmlformats.org/officeDocument/2006/relationships/hyperlink" Target="mailto:B2@180%20R2_B" TargetMode="External"/><Relationship Id="rId11" Type="http://schemas.openxmlformats.org/officeDocument/2006/relationships/comments" Target="../comments6.xml"/><Relationship Id="rId5" Type="http://schemas.openxmlformats.org/officeDocument/2006/relationships/hyperlink" Target="mailto:C2@180%20R2B" TargetMode="External"/><Relationship Id="rId10" Type="http://schemas.openxmlformats.org/officeDocument/2006/relationships/vmlDrawing" Target="../drawings/vmlDrawing6.vml"/><Relationship Id="rId4" Type="http://schemas.openxmlformats.org/officeDocument/2006/relationships/hyperlink" Target="mailto:C2@180%20R2"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F0F8C-2A66-47FE-A948-8214D8DEE8F5}">
  <sheetPr codeName="Sheet1">
    <tabColor theme="5"/>
  </sheetPr>
  <dimension ref="A1:D80"/>
  <sheetViews>
    <sheetView topLeftCell="A43" workbookViewId="0">
      <selection activeCell="C64" sqref="C64:D64"/>
    </sheetView>
  </sheetViews>
  <sheetFormatPr defaultColWidth="9.140625" defaultRowHeight="15"/>
  <cols>
    <col min="1" max="1" width="2.7109375" style="491" customWidth="1"/>
    <col min="2" max="2" width="4.7109375" style="491" customWidth="1"/>
    <col min="3" max="3" width="4" style="491" customWidth="1"/>
    <col min="4" max="4" width="105.85546875" style="491" bestFit="1" customWidth="1"/>
    <col min="5" max="16384" width="9.140625" style="491"/>
  </cols>
  <sheetData>
    <row r="1" spans="1:4" ht="70.5" customHeight="1">
      <c r="A1" s="551"/>
      <c r="B1" s="551"/>
      <c r="C1" s="551"/>
      <c r="D1" s="551"/>
    </row>
    <row r="2" spans="1:4" s="509" customFormat="1" ht="23.25">
      <c r="A2" s="552" t="s">
        <v>0</v>
      </c>
      <c r="B2" s="552"/>
      <c r="C2" s="552"/>
      <c r="D2" s="552"/>
    </row>
    <row r="3" spans="1:4">
      <c r="A3" s="551"/>
      <c r="B3" s="551"/>
      <c r="C3" s="551"/>
      <c r="D3" s="551"/>
    </row>
    <row r="4" spans="1:4" ht="45.6" customHeight="1">
      <c r="B4" s="553" t="s">
        <v>1</v>
      </c>
      <c r="C4" s="553"/>
      <c r="D4" s="553"/>
    </row>
    <row r="5" spans="1:4">
      <c r="A5" s="551"/>
      <c r="B5" s="551"/>
      <c r="C5" s="551"/>
      <c r="D5" s="551"/>
    </row>
    <row r="6" spans="1:4">
      <c r="B6" s="576" t="s">
        <v>2</v>
      </c>
      <c r="C6" s="576"/>
      <c r="D6" s="576"/>
    </row>
    <row r="7" spans="1:4" s="492" customFormat="1" ht="12.75">
      <c r="B7" s="536"/>
      <c r="C7" s="536"/>
      <c r="D7" s="536"/>
    </row>
    <row r="8" spans="1:4" s="492" customFormat="1" ht="60.75" customHeight="1">
      <c r="B8" s="495" t="s">
        <v>3</v>
      </c>
      <c r="C8" s="546" t="s">
        <v>4</v>
      </c>
      <c r="D8" s="546"/>
    </row>
    <row r="9" spans="1:4" s="492" customFormat="1" ht="12.75">
      <c r="B9" s="493"/>
      <c r="C9" s="536"/>
      <c r="D9" s="536"/>
    </row>
    <row r="10" spans="1:4" s="492" customFormat="1" ht="12.75">
      <c r="B10" s="493"/>
      <c r="C10" s="507"/>
      <c r="D10" s="497" t="s">
        <v>5</v>
      </c>
    </row>
    <row r="11" spans="1:4" s="492" customFormat="1" ht="5.0999999999999996" customHeight="1">
      <c r="B11" s="493"/>
      <c r="C11" s="536"/>
      <c r="D11" s="536"/>
    </row>
    <row r="12" spans="1:4" s="492" customFormat="1" ht="12.75">
      <c r="B12" s="493"/>
      <c r="C12" s="508"/>
      <c r="D12" s="497" t="s">
        <v>6</v>
      </c>
    </row>
    <row r="13" spans="1:4" s="492" customFormat="1" ht="5.0999999999999996" customHeight="1">
      <c r="B13" s="493"/>
      <c r="C13" s="536"/>
      <c r="D13" s="536"/>
    </row>
    <row r="14" spans="1:4" s="492" customFormat="1" ht="12.75">
      <c r="B14" s="493"/>
      <c r="C14" s="506"/>
      <c r="D14" s="497" t="s">
        <v>7</v>
      </c>
    </row>
    <row r="15" spans="1:4" s="492" customFormat="1" ht="12.75">
      <c r="B15" s="494"/>
      <c r="C15" s="577"/>
      <c r="D15" s="577"/>
    </row>
    <row r="16" spans="1:4" s="496" customFormat="1" ht="29.25" customHeight="1">
      <c r="B16" s="495" t="s">
        <v>8</v>
      </c>
      <c r="C16" s="546" t="s">
        <v>9</v>
      </c>
      <c r="D16" s="546"/>
    </row>
    <row r="17" spans="2:4" s="492" customFormat="1" ht="3.75" customHeight="1">
      <c r="B17" s="536"/>
      <c r="C17" s="536"/>
      <c r="D17" s="536"/>
    </row>
    <row r="18" spans="2:4" s="496" customFormat="1" ht="19.5" customHeight="1">
      <c r="B18" s="495" t="s">
        <v>10</v>
      </c>
      <c r="C18" s="546" t="s">
        <v>11</v>
      </c>
      <c r="D18" s="546"/>
    </row>
    <row r="19" spans="2:4">
      <c r="B19" s="537"/>
      <c r="C19" s="537"/>
      <c r="D19" s="498"/>
    </row>
    <row r="21" spans="2:4">
      <c r="B21" s="576" t="s">
        <v>12</v>
      </c>
      <c r="C21" s="576"/>
      <c r="D21" s="576"/>
    </row>
    <row r="22" spans="2:4">
      <c r="B22" s="537"/>
      <c r="C22" s="537"/>
      <c r="D22" s="537"/>
    </row>
    <row r="23" spans="2:4">
      <c r="B23" s="537"/>
      <c r="C23" s="505" t="s">
        <v>13</v>
      </c>
      <c r="D23" s="537"/>
    </row>
    <row r="24" spans="2:4" ht="5.0999999999999996" customHeight="1">
      <c r="B24" s="537"/>
      <c r="C24" s="537"/>
      <c r="D24" s="537"/>
    </row>
    <row r="25" spans="2:4">
      <c r="B25" s="537"/>
      <c r="C25" s="510"/>
      <c r="D25" s="498" t="s">
        <v>14</v>
      </c>
    </row>
    <row r="26" spans="2:4" ht="5.0999999999999996" customHeight="1">
      <c r="B26" s="537"/>
      <c r="C26" s="537"/>
      <c r="D26" s="537"/>
    </row>
    <row r="27" spans="2:4">
      <c r="B27" s="537"/>
      <c r="C27" s="503"/>
      <c r="D27" s="498" t="s">
        <v>15</v>
      </c>
    </row>
    <row r="28" spans="2:4" ht="5.0999999999999996" customHeight="1">
      <c r="B28" s="537"/>
      <c r="C28" s="537"/>
      <c r="D28" s="537"/>
    </row>
    <row r="29" spans="2:4">
      <c r="B29" s="537"/>
      <c r="C29" s="504"/>
      <c r="D29" s="498" t="s">
        <v>16</v>
      </c>
    </row>
    <row r="30" spans="2:4" ht="5.0999999999999996" customHeight="1">
      <c r="B30" s="537"/>
      <c r="C30" s="537"/>
      <c r="D30" s="537"/>
    </row>
    <row r="31" spans="2:4">
      <c r="B31" s="537"/>
      <c r="C31" s="537"/>
      <c r="D31" s="498"/>
    </row>
    <row r="32" spans="2:4" ht="5.0999999999999996" customHeight="1">
      <c r="B32" s="537"/>
      <c r="C32" s="537"/>
      <c r="D32" s="537"/>
    </row>
    <row r="33" spans="2:4">
      <c r="B33" s="537"/>
      <c r="C33" s="550" t="s">
        <v>17</v>
      </c>
      <c r="D33" s="550"/>
    </row>
    <row r="34" spans="2:4" s="492" customFormat="1" ht="55.5" customHeight="1">
      <c r="B34" s="536"/>
      <c r="C34" s="546" t="s">
        <v>18</v>
      </c>
      <c r="D34" s="546"/>
    </row>
    <row r="35" spans="2:4">
      <c r="B35" s="537"/>
      <c r="C35" s="544"/>
      <c r="D35" s="544"/>
    </row>
    <row r="36" spans="2:4">
      <c r="B36" s="537"/>
      <c r="C36" s="545" t="s">
        <v>19</v>
      </c>
      <c r="D36" s="545"/>
    </row>
    <row r="37" spans="2:4" s="492" customFormat="1" ht="46.5" customHeight="1">
      <c r="B37" s="536"/>
      <c r="C37" s="546" t="s">
        <v>20</v>
      </c>
      <c r="D37" s="546"/>
    </row>
    <row r="38" spans="2:4">
      <c r="B38" s="537"/>
      <c r="C38" s="544"/>
      <c r="D38" s="544"/>
    </row>
    <row r="39" spans="2:4">
      <c r="B39" s="537"/>
      <c r="C39" s="545" t="s">
        <v>21</v>
      </c>
      <c r="D39" s="545"/>
    </row>
    <row r="40" spans="2:4" s="492" customFormat="1" ht="43.5" customHeight="1">
      <c r="B40" s="536"/>
      <c r="C40" s="546" t="s">
        <v>22</v>
      </c>
      <c r="D40" s="546"/>
    </row>
    <row r="41" spans="2:4">
      <c r="B41" s="537"/>
      <c r="C41" s="544"/>
      <c r="D41" s="544"/>
    </row>
    <row r="42" spans="2:4">
      <c r="B42" s="537"/>
      <c r="C42" s="545" t="s">
        <v>23</v>
      </c>
      <c r="D42" s="545"/>
    </row>
    <row r="43" spans="2:4" s="492" customFormat="1" ht="41.25" customHeight="1">
      <c r="B43" s="536"/>
      <c r="C43" s="546" t="s">
        <v>24</v>
      </c>
      <c r="D43" s="546"/>
    </row>
    <row r="44" spans="2:4">
      <c r="B44" s="537"/>
      <c r="C44" s="544"/>
      <c r="D44" s="544"/>
    </row>
    <row r="45" spans="2:4">
      <c r="B45" s="537"/>
      <c r="C45" s="547" t="s">
        <v>25</v>
      </c>
      <c r="D45" s="547"/>
    </row>
    <row r="46" spans="2:4" s="492" customFormat="1" ht="26.25" customHeight="1">
      <c r="B46" s="536"/>
      <c r="C46" s="548" t="s">
        <v>26</v>
      </c>
      <c r="D46" s="549"/>
    </row>
    <row r="47" spans="2:4">
      <c r="B47" s="537"/>
      <c r="C47" s="544"/>
      <c r="D47" s="544"/>
    </row>
    <row r="48" spans="2:4">
      <c r="B48" s="537"/>
      <c r="C48" s="545" t="s">
        <v>27</v>
      </c>
      <c r="D48" s="545"/>
    </row>
    <row r="49" spans="2:4" s="492" customFormat="1" ht="45.75" customHeight="1">
      <c r="B49" s="536"/>
      <c r="C49" s="546" t="s">
        <v>28</v>
      </c>
      <c r="D49" s="546"/>
    </row>
    <row r="50" spans="2:4">
      <c r="B50" s="537"/>
      <c r="C50" s="544"/>
      <c r="D50" s="544"/>
    </row>
    <row r="51" spans="2:4">
      <c r="B51" s="537"/>
      <c r="C51" s="545" t="s">
        <v>29</v>
      </c>
      <c r="D51" s="545"/>
    </row>
    <row r="52" spans="2:4" s="500" customFormat="1" ht="45.75" customHeight="1">
      <c r="B52" s="499"/>
      <c r="C52" s="546" t="s">
        <v>30</v>
      </c>
      <c r="D52" s="546"/>
    </row>
    <row r="53" spans="2:4">
      <c r="B53" s="537"/>
      <c r="C53" s="544"/>
      <c r="D53" s="544"/>
    </row>
    <row r="54" spans="2:4">
      <c r="B54" s="537"/>
      <c r="C54" s="545" t="s">
        <v>31</v>
      </c>
      <c r="D54" s="545"/>
    </row>
    <row r="55" spans="2:4" s="492" customFormat="1" ht="20.25" customHeight="1">
      <c r="B55" s="536"/>
      <c r="C55" s="546" t="s">
        <v>32</v>
      </c>
      <c r="D55" s="546"/>
    </row>
    <row r="56" spans="2:4">
      <c r="B56" s="537"/>
      <c r="C56" s="544"/>
      <c r="D56" s="544"/>
    </row>
    <row r="57" spans="2:4">
      <c r="B57" s="537"/>
      <c r="C57" s="547" t="s">
        <v>33</v>
      </c>
      <c r="D57" s="547"/>
    </row>
    <row r="58" spans="2:4" s="492" customFormat="1" ht="33.75" customHeight="1">
      <c r="B58" s="536"/>
      <c r="C58" s="548" t="s">
        <v>34</v>
      </c>
      <c r="D58" s="549"/>
    </row>
    <row r="59" spans="2:4">
      <c r="B59" s="537"/>
      <c r="C59" s="544"/>
      <c r="D59" s="544"/>
    </row>
    <row r="60" spans="2:4">
      <c r="B60" s="537"/>
      <c r="C60" s="547" t="s">
        <v>35</v>
      </c>
      <c r="D60" s="547"/>
    </row>
    <row r="61" spans="2:4" s="492" customFormat="1" ht="28.5" customHeight="1">
      <c r="B61" s="536"/>
      <c r="C61" s="546" t="s">
        <v>36</v>
      </c>
      <c r="D61" s="546"/>
    </row>
    <row r="62" spans="2:4">
      <c r="B62" s="537"/>
      <c r="C62" s="544"/>
      <c r="D62" s="544"/>
    </row>
    <row r="63" spans="2:4">
      <c r="B63" s="537"/>
      <c r="C63" s="545" t="s">
        <v>37</v>
      </c>
      <c r="D63" s="545"/>
    </row>
    <row r="64" spans="2:4" s="492" customFormat="1" ht="29.25" customHeight="1">
      <c r="B64" s="536"/>
      <c r="C64" s="546" t="s">
        <v>38</v>
      </c>
      <c r="D64" s="546"/>
    </row>
    <row r="65" spans="2:4">
      <c r="B65" s="537"/>
      <c r="C65" s="544"/>
      <c r="D65" s="544"/>
    </row>
    <row r="66" spans="2:4">
      <c r="B66" s="537"/>
      <c r="C66" s="547" t="s">
        <v>39</v>
      </c>
      <c r="D66" s="547"/>
    </row>
    <row r="67" spans="2:4" s="492" customFormat="1" ht="33.75" customHeight="1">
      <c r="B67" s="536"/>
      <c r="C67" s="546" t="s">
        <v>40</v>
      </c>
      <c r="D67" s="546"/>
    </row>
    <row r="68" spans="2:4">
      <c r="B68" s="537"/>
      <c r="C68" s="544"/>
      <c r="D68" s="544"/>
    </row>
    <row r="69" spans="2:4">
      <c r="B69" s="537"/>
      <c r="C69" s="547" t="s">
        <v>41</v>
      </c>
      <c r="D69" s="547"/>
    </row>
    <row r="70" spans="2:4" s="492" customFormat="1" ht="29.25" customHeight="1">
      <c r="B70" s="536"/>
      <c r="C70" s="546" t="s">
        <v>42</v>
      </c>
      <c r="D70" s="546"/>
    </row>
    <row r="71" spans="2:4">
      <c r="B71" s="537"/>
      <c r="C71" s="544"/>
      <c r="D71" s="544"/>
    </row>
    <row r="72" spans="2:4">
      <c r="B72" s="537"/>
      <c r="C72" s="547" t="s">
        <v>43</v>
      </c>
      <c r="D72" s="547"/>
    </row>
    <row r="73" spans="2:4" s="492" customFormat="1" ht="16.5" customHeight="1">
      <c r="B73" s="536"/>
      <c r="C73" s="546" t="s">
        <v>44</v>
      </c>
      <c r="D73" s="546"/>
    </row>
    <row r="74" spans="2:4">
      <c r="B74" s="537"/>
      <c r="C74" s="578"/>
      <c r="D74" s="578"/>
    </row>
    <row r="76" spans="2:4">
      <c r="B76" s="576" t="s">
        <v>45</v>
      </c>
      <c r="C76" s="576"/>
      <c r="D76" s="576"/>
    </row>
    <row r="77" spans="2:4" s="492" customFormat="1" ht="5.25" customHeight="1">
      <c r="B77" s="501"/>
      <c r="C77" s="501"/>
      <c r="D77" s="536"/>
    </row>
    <row r="78" spans="2:4" s="492" customFormat="1" ht="12.75">
      <c r="B78" s="536"/>
      <c r="C78" s="577" t="s">
        <v>46</v>
      </c>
      <c r="D78" s="577"/>
    </row>
    <row r="79" spans="2:4" s="492" customFormat="1" ht="12.75">
      <c r="B79" s="536"/>
      <c r="C79" s="577" t="s">
        <v>47</v>
      </c>
      <c r="D79" s="577"/>
    </row>
    <row r="80" spans="2:4" s="492" customFormat="1" ht="12.75">
      <c r="B80" s="536"/>
      <c r="C80" s="536"/>
      <c r="D80" s="536"/>
    </row>
  </sheetData>
  <mergeCells count="56">
    <mergeCell ref="A1:D1"/>
    <mergeCell ref="A2:D2"/>
    <mergeCell ref="B4:D4"/>
    <mergeCell ref="A5:D5"/>
    <mergeCell ref="A3:D3"/>
    <mergeCell ref="B21:D21"/>
    <mergeCell ref="B6:D6"/>
    <mergeCell ref="C8:D8"/>
    <mergeCell ref="C15:D15"/>
    <mergeCell ref="C16:D16"/>
    <mergeCell ref="C18:D18"/>
    <mergeCell ref="C50:D50"/>
    <mergeCell ref="C44:D44"/>
    <mergeCell ref="C33:D33"/>
    <mergeCell ref="C34:D34"/>
    <mergeCell ref="C35:D35"/>
    <mergeCell ref="C36:D36"/>
    <mergeCell ref="C37:D37"/>
    <mergeCell ref="C39:D39"/>
    <mergeCell ref="C40:D40"/>
    <mergeCell ref="C41:D41"/>
    <mergeCell ref="C42:D42"/>
    <mergeCell ref="C43:D43"/>
    <mergeCell ref="C38:D38"/>
    <mergeCell ref="C45:D45"/>
    <mergeCell ref="C46:D46"/>
    <mergeCell ref="C47:D47"/>
    <mergeCell ref="C48:D48"/>
    <mergeCell ref="C49:D49"/>
    <mergeCell ref="C79:D79"/>
    <mergeCell ref="C63:D63"/>
    <mergeCell ref="C64:D64"/>
    <mergeCell ref="C65:D65"/>
    <mergeCell ref="C66:D66"/>
    <mergeCell ref="C67:D67"/>
    <mergeCell ref="C68:D68"/>
    <mergeCell ref="C72:D72"/>
    <mergeCell ref="C73:D73"/>
    <mergeCell ref="C74:D74"/>
    <mergeCell ref="B76:D76"/>
    <mergeCell ref="C78:D78"/>
    <mergeCell ref="C69:D69"/>
    <mergeCell ref="C70:D70"/>
    <mergeCell ref="C71:D71"/>
    <mergeCell ref="C62:D62"/>
    <mergeCell ref="C51:D51"/>
    <mergeCell ref="C52:D52"/>
    <mergeCell ref="C53:D53"/>
    <mergeCell ref="C54:D54"/>
    <mergeCell ref="C55:D55"/>
    <mergeCell ref="C57:D57"/>
    <mergeCell ref="C58:D58"/>
    <mergeCell ref="C59:D59"/>
    <mergeCell ref="C60:D60"/>
    <mergeCell ref="C61:D61"/>
    <mergeCell ref="C56:D5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81589-D379-45C3-8AB3-C203A086746C}">
  <sheetPr codeName="Sheet10"/>
  <dimension ref="A1:AC34"/>
  <sheetViews>
    <sheetView topLeftCell="A89" zoomScaleNormal="100" workbookViewId="0">
      <selection activeCell="I11" sqref="I11"/>
    </sheetView>
  </sheetViews>
  <sheetFormatPr defaultRowHeight="15"/>
  <cols>
    <col min="3" max="3" width="35.42578125" bestFit="1" customWidth="1"/>
    <col min="4" max="7" width="11.7109375" customWidth="1"/>
    <col min="8" max="8" width="2.7109375" customWidth="1"/>
    <col min="9" max="9" width="24.85546875" customWidth="1"/>
    <col min="10" max="13" width="11.7109375" customWidth="1"/>
    <col min="14" max="14" width="1.7109375" customWidth="1"/>
    <col min="15" max="18" width="11.7109375" customWidth="1"/>
    <col min="19" max="19" width="2.7109375" customWidth="1"/>
    <col min="20" max="20" width="24.85546875" customWidth="1"/>
    <col min="21" max="24" width="11.7109375" customWidth="1"/>
    <col min="25" max="25" width="1.7109375" customWidth="1"/>
    <col min="26" max="29" width="11.7109375" customWidth="1"/>
  </cols>
  <sheetData>
    <row r="1" spans="1:29" ht="38.25" customHeight="1">
      <c r="A1" s="209" t="s">
        <v>202</v>
      </c>
      <c r="B1" s="209"/>
      <c r="C1" s="209"/>
      <c r="D1" s="209"/>
      <c r="E1" s="209"/>
      <c r="F1" s="209"/>
      <c r="G1" s="209"/>
      <c r="H1" s="210"/>
      <c r="I1" s="209"/>
      <c r="J1" s="209"/>
      <c r="K1" s="209"/>
      <c r="L1" s="209"/>
      <c r="M1" s="209"/>
      <c r="N1" s="211"/>
      <c r="O1" s="209"/>
      <c r="P1" s="209"/>
      <c r="Q1" s="209"/>
      <c r="R1" s="208"/>
      <c r="S1" s="208"/>
      <c r="T1" s="208"/>
      <c r="U1" s="208"/>
      <c r="V1" s="208"/>
      <c r="W1" s="208"/>
      <c r="X1" s="208"/>
      <c r="Y1" s="208"/>
      <c r="Z1" s="208"/>
      <c r="AA1" s="208"/>
      <c r="AB1" s="208"/>
      <c r="AC1" s="208"/>
    </row>
    <row r="4" spans="1:29">
      <c r="C4" s="1" t="s">
        <v>203</v>
      </c>
      <c r="I4" s="1" t="s">
        <v>203</v>
      </c>
      <c r="T4" s="1" t="s">
        <v>204</v>
      </c>
    </row>
    <row r="5" spans="1:29">
      <c r="N5" s="31"/>
    </row>
    <row r="6" spans="1:29">
      <c r="C6" s="95"/>
      <c r="D6" s="560" t="s">
        <v>205</v>
      </c>
      <c r="E6" s="560"/>
      <c r="F6" s="560"/>
      <c r="G6" s="560"/>
      <c r="H6" s="3"/>
      <c r="I6" s="95"/>
      <c r="J6" s="560" t="s">
        <v>173</v>
      </c>
      <c r="K6" s="560"/>
      <c r="L6" s="560"/>
      <c r="M6" s="560"/>
      <c r="N6" s="132"/>
      <c r="O6" s="560" t="s">
        <v>174</v>
      </c>
      <c r="P6" s="560"/>
      <c r="Q6" s="560"/>
      <c r="R6" s="560"/>
      <c r="T6" s="95"/>
      <c r="U6" s="560" t="s">
        <v>173</v>
      </c>
      <c r="V6" s="560"/>
      <c r="W6" s="560"/>
      <c r="X6" s="560"/>
      <c r="Y6" s="132"/>
      <c r="Z6" s="560" t="s">
        <v>174</v>
      </c>
      <c r="AA6" s="560"/>
      <c r="AB6" s="560"/>
      <c r="AC6" s="560"/>
    </row>
    <row r="7" spans="1:29">
      <c r="C7" s="16" t="s">
        <v>175</v>
      </c>
      <c r="D7" s="542" t="s">
        <v>206</v>
      </c>
      <c r="E7" s="542" t="s">
        <v>207</v>
      </c>
      <c r="F7" s="542" t="s">
        <v>208</v>
      </c>
      <c r="G7" s="542" t="s">
        <v>104</v>
      </c>
      <c r="H7" s="3"/>
      <c r="I7" s="16" t="s">
        <v>175</v>
      </c>
      <c r="J7" s="542" t="s">
        <v>209</v>
      </c>
      <c r="K7" s="542" t="s">
        <v>78</v>
      </c>
      <c r="L7" s="542" t="s">
        <v>208</v>
      </c>
      <c r="M7" s="542" t="s">
        <v>104</v>
      </c>
      <c r="N7" s="542"/>
      <c r="O7" s="542" t="s">
        <v>209</v>
      </c>
      <c r="P7" s="542" t="s">
        <v>78</v>
      </c>
      <c r="Q7" s="542" t="s">
        <v>208</v>
      </c>
      <c r="R7" s="542" t="s">
        <v>104</v>
      </c>
      <c r="T7" s="16" t="s">
        <v>175</v>
      </c>
      <c r="U7" s="542" t="s">
        <v>209</v>
      </c>
      <c r="V7" s="542" t="s">
        <v>78</v>
      </c>
      <c r="W7" s="542" t="s">
        <v>208</v>
      </c>
      <c r="X7" s="542" t="s">
        <v>104</v>
      </c>
      <c r="Y7" s="542"/>
      <c r="Z7" s="542" t="s">
        <v>209</v>
      </c>
      <c r="AA7" s="542" t="s">
        <v>78</v>
      </c>
      <c r="AB7" s="542" t="s">
        <v>208</v>
      </c>
      <c r="AC7" s="542" t="s">
        <v>104</v>
      </c>
    </row>
    <row r="8" spans="1:29">
      <c r="C8" s="531" t="str">
        <f>Maint_Base!A3</f>
        <v>Model High School</v>
      </c>
      <c r="D8" s="92">
        <f>Maint_Base!M14</f>
        <v>5532.3543869999994</v>
      </c>
      <c r="E8" s="92">
        <f>Maint_Base!S14</f>
        <v>813.58152749999988</v>
      </c>
      <c r="F8" s="92">
        <f>Maint_Base!V14</f>
        <v>0</v>
      </c>
      <c r="G8" s="92">
        <f>Maint_Base!Z14</f>
        <v>6345.9359144999999</v>
      </c>
      <c r="H8" s="72"/>
      <c r="I8" s="531" t="str">
        <f>C8</f>
        <v>Model High School</v>
      </c>
      <c r="J8" s="226">
        <f>Maint_R1!M15</f>
        <v>40.081480391999989</v>
      </c>
      <c r="K8" s="226">
        <f>Maint_R1!S15</f>
        <v>88.965000000000003</v>
      </c>
      <c r="L8" s="226">
        <f>Maint_R1!V15</f>
        <v>0</v>
      </c>
      <c r="M8" s="226">
        <f>Maint_R1!Z15</f>
        <v>129.04648039200001</v>
      </c>
      <c r="N8" s="227"/>
      <c r="O8" s="226">
        <f>Maint_R2!M19</f>
        <v>41.199513298049993</v>
      </c>
      <c r="P8" s="226">
        <f>Maint_R2!S19</f>
        <v>88.965000000000003</v>
      </c>
      <c r="Q8" s="226">
        <f>Maint_R2!V19</f>
        <v>0</v>
      </c>
      <c r="R8" s="226">
        <f>Maint_R2!Z19</f>
        <v>130.16451329805</v>
      </c>
      <c r="T8" s="531" t="str">
        <f>I8</f>
        <v>Model High School</v>
      </c>
      <c r="U8" s="226">
        <f>J8*Dashboard!$D$6</f>
        <v>801.62960783999984</v>
      </c>
      <c r="V8" s="226">
        <f>K8*Dashboard!$D$6</f>
        <v>1779.3000000000002</v>
      </c>
      <c r="W8" s="226">
        <f>L8*Dashboard!$D$6</f>
        <v>0</v>
      </c>
      <c r="X8" s="226">
        <f>M8*Dashboard!$D$6</f>
        <v>2580.9296078400002</v>
      </c>
      <c r="Y8" s="226">
        <f>N8*Dashboard!$D$6</f>
        <v>0</v>
      </c>
      <c r="Z8" s="226">
        <f>O8*Dashboard!$D$6</f>
        <v>823.99026596099986</v>
      </c>
      <c r="AA8" s="226">
        <f>P8*Dashboard!$D$6</f>
        <v>1779.3000000000002</v>
      </c>
      <c r="AB8" s="226">
        <f>Q8*Dashboard!$D$6</f>
        <v>0</v>
      </c>
      <c r="AC8" s="226">
        <f>R8*Dashboard!$D$6</f>
        <v>2603.2902659609999</v>
      </c>
    </row>
    <row r="9" spans="1:29">
      <c r="C9" s="527" t="str">
        <f>Maint_Base!A17</f>
        <v>College Ave (Roadway)</v>
      </c>
      <c r="D9" s="93">
        <f>Maint_Base!M22</f>
        <v>164.65340437499998</v>
      </c>
      <c r="E9" s="93">
        <f>Maint_Base!S22</f>
        <v>58.112966249999999</v>
      </c>
      <c r="F9" s="93">
        <f>Maint_Base!V22</f>
        <v>0</v>
      </c>
      <c r="G9" s="93">
        <f>Maint_Base!Z22</f>
        <v>222.76637062499998</v>
      </c>
      <c r="H9" s="72"/>
      <c r="I9" s="527" t="str">
        <f>C9</f>
        <v>College Ave (Roadway)</v>
      </c>
      <c r="J9" s="228">
        <f>Maint_R1!M24</f>
        <v>3.2658859200000001</v>
      </c>
      <c r="K9" s="228">
        <f>Maint_R1!S24</f>
        <v>6</v>
      </c>
      <c r="L9" s="228">
        <f>Maint_R1!V24</f>
        <v>0</v>
      </c>
      <c r="M9" s="228">
        <f>Maint_R1!Z24</f>
        <v>9.2658859200000006</v>
      </c>
      <c r="N9" s="229"/>
      <c r="O9" s="228">
        <f>Maint_R2!M28</f>
        <v>4.6862557499999999</v>
      </c>
      <c r="P9" s="228">
        <f>Maint_R2!S28</f>
        <v>6</v>
      </c>
      <c r="Q9" s="228">
        <f>Maint_R2!V28</f>
        <v>0</v>
      </c>
      <c r="R9" s="228">
        <f>Maint_R2!Z28</f>
        <v>10.686255750000001</v>
      </c>
      <c r="T9" s="527" t="str">
        <f>I9</f>
        <v>College Ave (Roadway)</v>
      </c>
      <c r="U9" s="226">
        <f>J9*Dashboard!$D$6</f>
        <v>65.317718400000004</v>
      </c>
      <c r="V9" s="226">
        <f>K9*Dashboard!$D$6</f>
        <v>120</v>
      </c>
      <c r="W9" s="226">
        <f>L9*Dashboard!$D$6</f>
        <v>0</v>
      </c>
      <c r="X9" s="226">
        <f>M9*Dashboard!$D$6</f>
        <v>185.31771840000002</v>
      </c>
      <c r="Y9" s="226">
        <f>N9*Dashboard!$D$6</f>
        <v>0</v>
      </c>
      <c r="Z9" s="226">
        <f>O9*Dashboard!$D$6</f>
        <v>93.725115000000002</v>
      </c>
      <c r="AA9" s="226">
        <f>P9*Dashboard!$D$6</f>
        <v>120</v>
      </c>
      <c r="AB9" s="226">
        <f>Q9*Dashboard!$D$6</f>
        <v>0</v>
      </c>
      <c r="AC9" s="226">
        <f>R9*Dashboard!$D$6</f>
        <v>213.72511500000002</v>
      </c>
    </row>
    <row r="10" spans="1:29">
      <c r="C10" s="523" t="str">
        <f>Maint_Base!A25</f>
        <v>College Ave (Area)</v>
      </c>
      <c r="D10" s="93">
        <f>Maint_Base!M30</f>
        <v>711.46532754629629</v>
      </c>
      <c r="E10" s="93">
        <f>Maint_Base!S30</f>
        <v>79.528670479166664</v>
      </c>
      <c r="F10" s="93">
        <f>Maint_Base!V30</f>
        <v>0</v>
      </c>
      <c r="G10" s="93">
        <f>Maint_Base!Z30</f>
        <v>790.99399802546304</v>
      </c>
      <c r="H10" s="72"/>
      <c r="I10" s="523" t="str">
        <f>C10</f>
        <v>College Ave (Area)</v>
      </c>
      <c r="J10" s="228">
        <f>Maint_R1!M33</f>
        <v>4.8849993074999993</v>
      </c>
      <c r="K10" s="228">
        <f>Maint_R1!S33</f>
        <v>8.6125000000000007</v>
      </c>
      <c r="L10" s="228">
        <f>Maint_R1!V33</f>
        <v>0</v>
      </c>
      <c r="M10" s="228">
        <f>Maint_R1!Z33</f>
        <v>13.4974993075</v>
      </c>
      <c r="N10" s="229"/>
      <c r="O10" s="228">
        <f>Maint_R1!M33</f>
        <v>4.8849993074999993</v>
      </c>
      <c r="P10" s="228">
        <f>Maint_R2!S37</f>
        <v>8.6125000000000007</v>
      </c>
      <c r="Q10" s="228">
        <f>Maint_R2!V37</f>
        <v>0</v>
      </c>
      <c r="R10" s="228">
        <f>Maint_R2!Z37</f>
        <v>13.4974993075</v>
      </c>
      <c r="T10" s="523" t="str">
        <f>I10</f>
        <v>College Ave (Area)</v>
      </c>
      <c r="U10" s="226">
        <f>J10*Dashboard!$D$6</f>
        <v>97.699986149999987</v>
      </c>
      <c r="V10" s="226">
        <f>K10*Dashboard!$D$6</f>
        <v>172.25</v>
      </c>
      <c r="W10" s="226">
        <f>L10*Dashboard!$D$6</f>
        <v>0</v>
      </c>
      <c r="X10" s="226">
        <f>M10*Dashboard!$D$6</f>
        <v>269.94998614999997</v>
      </c>
      <c r="Y10" s="226">
        <f>N10*Dashboard!$D$6</f>
        <v>0</v>
      </c>
      <c r="Z10" s="226">
        <f>O10*Dashboard!$D$6</f>
        <v>97.699986149999987</v>
      </c>
      <c r="AA10" s="226">
        <f>P10*Dashboard!$D$6</f>
        <v>172.25</v>
      </c>
      <c r="AB10" s="226">
        <f>Q10*Dashboard!$D$6</f>
        <v>0</v>
      </c>
      <c r="AC10" s="226">
        <f>R10*Dashboard!$D$6</f>
        <v>269.94998614999997</v>
      </c>
    </row>
    <row r="11" spans="1:29">
      <c r="C11" s="519" t="str">
        <f>Maint_Base!A33</f>
        <v>College Ave (Decorative)</v>
      </c>
      <c r="D11" s="93">
        <f>Maint_Base!M38</f>
        <v>1317.2272350000001</v>
      </c>
      <c r="E11" s="93">
        <f>Maint_Base!S38</f>
        <v>193.70988749999998</v>
      </c>
      <c r="F11" s="93">
        <f>Maint_Base!X38</f>
        <v>0</v>
      </c>
      <c r="G11" s="93">
        <f>Maint_Base!Z38</f>
        <v>1510.9371225</v>
      </c>
      <c r="H11" s="72"/>
      <c r="I11" s="519" t="str">
        <f>C11</f>
        <v>College Ave (Decorative)</v>
      </c>
      <c r="J11" s="228">
        <f>Maint_R1!M42</f>
        <v>14.032769199999999</v>
      </c>
      <c r="K11" s="228">
        <f>Maint_R1!S42</f>
        <v>20</v>
      </c>
      <c r="L11" s="228">
        <f>Maint_R1!V42</f>
        <v>0</v>
      </c>
      <c r="M11" s="228">
        <f>Maint_R1!Z42</f>
        <v>34.032769199999997</v>
      </c>
      <c r="N11" s="226"/>
      <c r="O11" s="228">
        <f>Maint_R1!M42</f>
        <v>14.032769199999999</v>
      </c>
      <c r="P11" s="228">
        <f>Maint_R2!S46</f>
        <v>20</v>
      </c>
      <c r="Q11" s="228">
        <f>Maint_R2!V46</f>
        <v>0</v>
      </c>
      <c r="R11" s="228">
        <f>Maint_R2!Z46</f>
        <v>40.852622249999996</v>
      </c>
      <c r="T11" s="519" t="str">
        <f>I11</f>
        <v>College Ave (Decorative)</v>
      </c>
      <c r="U11" s="226">
        <f>J11*Dashboard!$D$6</f>
        <v>280.65538399999997</v>
      </c>
      <c r="V11" s="226">
        <f>K11*Dashboard!$D$6</f>
        <v>400</v>
      </c>
      <c r="W11" s="226">
        <f>L11*Dashboard!$D$6</f>
        <v>0</v>
      </c>
      <c r="X11" s="226">
        <f>M11*Dashboard!$D$6</f>
        <v>680.65538399999991</v>
      </c>
      <c r="Y11" s="226">
        <f>N11*Dashboard!$D$6</f>
        <v>0</v>
      </c>
      <c r="Z11" s="226">
        <f>O11*Dashboard!$D$6</f>
        <v>280.65538399999997</v>
      </c>
      <c r="AA11" s="226">
        <f>P11*Dashboard!$D$6</f>
        <v>400</v>
      </c>
      <c r="AB11" s="226">
        <f>Q11*Dashboard!$D$6</f>
        <v>0</v>
      </c>
      <c r="AC11" s="226">
        <f>R11*Dashboard!$D$6</f>
        <v>817.05244499999992</v>
      </c>
    </row>
    <row r="12" spans="1:29">
      <c r="N12" s="72"/>
    </row>
    <row r="34" spans="6:6">
      <c r="F34" s="72"/>
    </row>
  </sheetData>
  <mergeCells count="5">
    <mergeCell ref="J6:M6"/>
    <mergeCell ref="O6:R6"/>
    <mergeCell ref="D6:G6"/>
    <mergeCell ref="U6:X6"/>
    <mergeCell ref="Z6:AC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33FE1-DF2D-48E1-B37D-F86EBF97058F}">
  <sheetPr codeName="Sheet11"/>
  <dimension ref="A1:M35"/>
  <sheetViews>
    <sheetView topLeftCell="A2" zoomScaleNormal="100" workbookViewId="0">
      <selection activeCell="G37" sqref="G37"/>
    </sheetView>
  </sheetViews>
  <sheetFormatPr defaultRowHeight="15"/>
  <cols>
    <col min="1" max="1" width="45.140625" customWidth="1"/>
    <col min="2" max="2" width="13.28515625" style="38" bestFit="1" customWidth="1"/>
    <col min="3" max="8" width="15.7109375" customWidth="1"/>
    <col min="9" max="9" width="14.85546875" bestFit="1" customWidth="1"/>
    <col min="10" max="10" width="17.7109375" bestFit="1" customWidth="1"/>
    <col min="11" max="11" width="14.28515625" bestFit="1" customWidth="1"/>
    <col min="12" max="12" width="25.7109375" style="38" customWidth="1"/>
    <col min="13" max="13" width="26.85546875" customWidth="1"/>
  </cols>
  <sheetData>
    <row r="1" spans="1:13" ht="38.25" customHeight="1">
      <c r="A1" s="209" t="s">
        <v>210</v>
      </c>
      <c r="B1" s="209"/>
      <c r="C1" s="209"/>
      <c r="D1" s="209"/>
      <c r="E1" s="209"/>
      <c r="F1" s="209"/>
      <c r="G1" s="210"/>
      <c r="H1" s="209"/>
      <c r="I1" s="209"/>
      <c r="J1" s="209"/>
      <c r="K1" s="209"/>
      <c r="L1" s="211"/>
      <c r="M1" s="209"/>
    </row>
    <row r="3" spans="1:13">
      <c r="A3" t="str">
        <f>A9</f>
        <v>Model High School - Base Case</v>
      </c>
    </row>
    <row r="6" spans="1:13" ht="19.5" thickBot="1">
      <c r="A6" s="4"/>
      <c r="B6" s="173"/>
      <c r="C6" s="178"/>
      <c r="D6" s="179"/>
      <c r="E6" s="179"/>
      <c r="F6" s="178"/>
      <c r="G6" s="179"/>
      <c r="H6" s="158"/>
      <c r="I6" s="7"/>
      <c r="J6" s="7"/>
      <c r="K6" s="7"/>
      <c r="L6" s="6"/>
      <c r="M6" s="7"/>
    </row>
    <row r="7" spans="1:13">
      <c r="A7" s="9"/>
      <c r="B7" s="11"/>
      <c r="C7" s="555" t="s">
        <v>211</v>
      </c>
      <c r="D7" s="556"/>
      <c r="E7" s="557"/>
      <c r="F7" s="568" t="s">
        <v>212</v>
      </c>
      <c r="G7" s="569"/>
      <c r="H7" s="570"/>
      <c r="I7" s="568" t="s">
        <v>213</v>
      </c>
      <c r="J7" s="569"/>
      <c r="K7" s="570"/>
      <c r="L7" s="11" t="s">
        <v>214</v>
      </c>
      <c r="M7" s="10" t="s">
        <v>215</v>
      </c>
    </row>
    <row r="8" spans="1:13">
      <c r="A8" s="15" t="s">
        <v>54</v>
      </c>
      <c r="B8" s="542" t="s">
        <v>216</v>
      </c>
      <c r="C8" s="180" t="s">
        <v>57</v>
      </c>
      <c r="D8" s="175" t="s">
        <v>59</v>
      </c>
      <c r="E8" s="181" t="s">
        <v>104</v>
      </c>
      <c r="F8" s="188" t="s">
        <v>57</v>
      </c>
      <c r="G8" s="177" t="s">
        <v>59</v>
      </c>
      <c r="H8" s="189" t="s">
        <v>104</v>
      </c>
      <c r="I8" s="188" t="s">
        <v>57</v>
      </c>
      <c r="J8" s="177" t="s">
        <v>59</v>
      </c>
      <c r="K8" s="189" t="s">
        <v>104</v>
      </c>
      <c r="L8" s="542" t="s">
        <v>217</v>
      </c>
      <c r="M8" s="542" t="s">
        <v>217</v>
      </c>
    </row>
    <row r="9" spans="1:13">
      <c r="A9" s="511" t="str">
        <f>_xlfn.CONCAT('Capital_Summary (Ref)'!C8," - Base Case")</f>
        <v>Model High School - Base Case</v>
      </c>
      <c r="B9" s="225">
        <f>Base_Energy!G14/1000</f>
        <v>24.408999999999999</v>
      </c>
      <c r="C9" s="182">
        <f t="array" ref="C9:D11">MMULT(TRANSPOSE(Dashboard!D22:F24),'OpHrs_Summary (Ref)'!D30:E32)</f>
        <v>1220.7130555555555</v>
      </c>
      <c r="D9" s="155">
        <v>3083.951111111111</v>
      </c>
      <c r="E9" s="183">
        <f>SUM(C9:D20)</f>
        <v>43485.599999999999</v>
      </c>
      <c r="F9" s="182">
        <f>B9*C9</f>
        <v>29796.384973055552</v>
      </c>
      <c r="G9" s="155">
        <f>B9*D9</f>
        <v>75276.162671111102</v>
      </c>
      <c r="H9" s="191">
        <f>F9+G9</f>
        <v>105072.54764416665</v>
      </c>
      <c r="I9" s="200">
        <f>F9*Dashboard!$D$11</f>
        <v>3191.1928306142495</v>
      </c>
      <c r="J9" s="203">
        <f>G9*Dashboard!$D$12</f>
        <v>9093.3604506702213</v>
      </c>
      <c r="K9" s="194">
        <f>I9+J9+12*Dashboard!$D$13</f>
        <v>12284.55328128447</v>
      </c>
      <c r="L9" s="197">
        <v>0</v>
      </c>
      <c r="M9" s="197">
        <v>0</v>
      </c>
    </row>
    <row r="10" spans="1:13">
      <c r="A10" s="511" t="str">
        <f>_xlfn.CONCAT('Capital_Summary (Ref)'!C8," - Retrofit 1 (50% dim)")</f>
        <v>Model High School - Retrofit 1 (50% dim)</v>
      </c>
      <c r="B10" s="225">
        <f>Capital_R1!G15/1000</f>
        <v>12.348000000000001</v>
      </c>
      <c r="C10" s="182">
        <v>852.9563888888888</v>
      </c>
      <c r="D10" s="155">
        <v>2255.4702777777775</v>
      </c>
      <c r="E10" s="183">
        <f t="shared" ref="E10" si="0">SUM(C10:D21)</f>
        <v>39180.935833333329</v>
      </c>
      <c r="F10" s="182">
        <f t="shared" ref="F10:F20" si="1">B10*C10</f>
        <v>10532.305489999999</v>
      </c>
      <c r="G10" s="155">
        <f t="shared" ref="G10:G20" si="2">B10*D10</f>
        <v>27850.546989999999</v>
      </c>
      <c r="H10" s="191">
        <f t="shared" ref="H10:H20" si="3">F10+G10</f>
        <v>38382.852480000001</v>
      </c>
      <c r="I10" s="200">
        <f>F10*Dashboard!$D$11</f>
        <v>1128.009917979</v>
      </c>
      <c r="J10" s="203">
        <f>G10*Dashboard!$D$12</f>
        <v>3364.3460763920002</v>
      </c>
      <c r="K10" s="194">
        <f>I10+J10+12*Dashboard!$D$13</f>
        <v>4492.3559943710006</v>
      </c>
      <c r="L10" s="197">
        <f>$K$9-K10</f>
        <v>7792.1972869134697</v>
      </c>
      <c r="M10" s="197">
        <f>L10*Dashboard!$D$6</f>
        <v>155843.94573826939</v>
      </c>
    </row>
    <row r="11" spans="1:13">
      <c r="A11" s="511" t="str">
        <f>_xlfn.CONCAT('Capital_Summary (Ref)'!C8," - Retrofit 2 (80% dim)")</f>
        <v>Model High School - Retrofit 2 (80% dim)</v>
      </c>
      <c r="B11" s="502">
        <f>Capital_R2!G19/1000</f>
        <v>9.8059999999999992</v>
      </c>
      <c r="C11" s="184">
        <v>632.3023888888888</v>
      </c>
      <c r="D11" s="156">
        <v>1758.3817777777776</v>
      </c>
      <c r="E11" s="185">
        <f t="shared" ref="E11:E20" si="4">SUM(C11:D21)</f>
        <v>36072.509166666663</v>
      </c>
      <c r="F11" s="184">
        <f t="shared" si="1"/>
        <v>6200.3572254444434</v>
      </c>
      <c r="G11" s="156">
        <f t="shared" si="2"/>
        <v>17242.691712888885</v>
      </c>
      <c r="H11" s="192">
        <f t="shared" si="3"/>
        <v>23443.04893833333</v>
      </c>
      <c r="I11" s="201">
        <f>F11*Dashboard!$D$11</f>
        <v>664.05825884509989</v>
      </c>
      <c r="J11" s="204">
        <f>G11*Dashboard!$D$12</f>
        <v>2082.9171589169773</v>
      </c>
      <c r="K11" s="195">
        <f>I11+J11+12*Dashboard!$D$13</f>
        <v>2746.9754177620771</v>
      </c>
      <c r="L11" s="198">
        <f>$K$9-K11</f>
        <v>9537.5778635223942</v>
      </c>
      <c r="M11" s="230">
        <f>L11*Dashboard!$D$6</f>
        <v>190751.5572704479</v>
      </c>
    </row>
    <row r="12" spans="1:13">
      <c r="A12" s="512" t="str">
        <f>_xlfn.CONCAT('Capital_Summary (Ref)'!C9," - Base Case")</f>
        <v>College Ave (Roadway) - Base Case</v>
      </c>
      <c r="B12" s="38">
        <f>Base_Energy!G23/1000</f>
        <v>2.76</v>
      </c>
      <c r="C12" s="182">
        <f t="array" ref="C12:D14">MMULT(TRANSPOSE(Dashboard!G22:I24),'OpHrs_Summary (Ref)'!D30:E32)</f>
        <v>1220.7130555555555</v>
      </c>
      <c r="D12" s="155">
        <v>3083.951111111111</v>
      </c>
      <c r="E12" s="183">
        <f t="shared" si="4"/>
        <v>33681.824999999997</v>
      </c>
      <c r="F12" s="182">
        <f t="shared" si="1"/>
        <v>3369.1680333333329</v>
      </c>
      <c r="G12" s="155">
        <f t="shared" si="2"/>
        <v>8511.7050666666655</v>
      </c>
      <c r="H12" s="191">
        <f t="shared" si="3"/>
        <v>11880.873099999999</v>
      </c>
      <c r="I12" s="200">
        <f>F12*Dashboard!$D$11</f>
        <v>360.83789636999995</v>
      </c>
      <c r="J12" s="203">
        <f>G12*Dashboard!$D$12</f>
        <v>1028.2139720533332</v>
      </c>
      <c r="K12" s="194">
        <f>I12+J12+12*Dashboard!$D$13</f>
        <v>1389.0518684233332</v>
      </c>
      <c r="L12" s="197">
        <v>0</v>
      </c>
      <c r="M12" s="197">
        <v>0</v>
      </c>
    </row>
    <row r="13" spans="1:13">
      <c r="A13" s="513" t="str">
        <f>_xlfn.CONCAT('Capital_Summary (Ref)'!C9," - Retrofit 1 (50% dim)")</f>
        <v>College Ave (Roadway) - Retrofit 1 (50% dim)</v>
      </c>
      <c r="B13" s="225">
        <f>Capital_R1!G24/1000</f>
        <v>1.6739999999999999</v>
      </c>
      <c r="C13" s="182">
        <v>1035.9563888888888</v>
      </c>
      <c r="D13" s="155">
        <v>2619.9702777777775</v>
      </c>
      <c r="E13" s="183">
        <f t="shared" si="4"/>
        <v>29377.160833333332</v>
      </c>
      <c r="F13" s="182">
        <f t="shared" si="1"/>
        <v>1734.1909949999997</v>
      </c>
      <c r="G13" s="155">
        <f t="shared" si="2"/>
        <v>4385.8302449999992</v>
      </c>
      <c r="H13" s="191">
        <f t="shared" si="3"/>
        <v>6120.0212399999991</v>
      </c>
      <c r="I13" s="200">
        <f>F13*Dashboard!$D$11</f>
        <v>185.73185556449997</v>
      </c>
      <c r="J13" s="203">
        <f>G13*Dashboard!$D$12</f>
        <v>529.80829359599988</v>
      </c>
      <c r="K13" s="194">
        <f>I13+J13+12*Dashboard!$D$13</f>
        <v>715.54014916049982</v>
      </c>
      <c r="L13" s="197">
        <f>$K$12-K13</f>
        <v>673.51171926283337</v>
      </c>
      <c r="M13" s="197">
        <f>L13*Dashboard!$D$6</f>
        <v>13470.234385256666</v>
      </c>
    </row>
    <row r="14" spans="1:13">
      <c r="A14" s="528" t="str">
        <f>_xlfn.CONCAT('Capital_Summary (Ref)'!C9," - Retrofit 2 (80% dim)")</f>
        <v>College Ave (Roadway) - Retrofit 2 (80% dim)</v>
      </c>
      <c r="B14" s="502">
        <f>Capital_R2!G28/1000</f>
        <v>1.488</v>
      </c>
      <c r="C14" s="184">
        <v>925.10238888888875</v>
      </c>
      <c r="D14" s="156">
        <v>2341.5817777777779</v>
      </c>
      <c r="E14" s="185">
        <f t="shared" si="4"/>
        <v>25721.234166666665</v>
      </c>
      <c r="F14" s="184">
        <f t="shared" si="1"/>
        <v>1376.5523546666664</v>
      </c>
      <c r="G14" s="156">
        <f t="shared" si="2"/>
        <v>3484.2736853333336</v>
      </c>
      <c r="H14" s="192">
        <f t="shared" si="3"/>
        <v>4860.8260399999999</v>
      </c>
      <c r="I14" s="201">
        <f>F14*Dashboard!$D$11</f>
        <v>147.42875718479996</v>
      </c>
      <c r="J14" s="204">
        <f>G14*Dashboard!$D$12</f>
        <v>420.90026118826671</v>
      </c>
      <c r="K14" s="195">
        <f>I14+J14+12*Dashboard!$D$13</f>
        <v>568.32901837306667</v>
      </c>
      <c r="L14" s="198">
        <f>$K$12-K14</f>
        <v>820.72285005026652</v>
      </c>
      <c r="M14" s="230">
        <f>L14*Dashboard!$D$6</f>
        <v>16414.457001005328</v>
      </c>
    </row>
    <row r="15" spans="1:13">
      <c r="A15" s="533" t="str">
        <f>_xlfn.CONCAT('Capital_Summary (Ref)'!C10," - Base Case")</f>
        <v>College Ave (Area) - Base Case</v>
      </c>
      <c r="B15" s="225">
        <f>Base_Energy!G32/1000</f>
        <v>5.4</v>
      </c>
      <c r="C15" s="182">
        <f t="array" ref="C15:D17">MMULT(TRANSPOSE(Dashboard!G22:I24),'OpHrs_Summary (Ref)'!D30:E32)</f>
        <v>1220.7130555555555</v>
      </c>
      <c r="D15" s="155">
        <v>3083.951111111111</v>
      </c>
      <c r="E15" s="183">
        <f t="shared" si="4"/>
        <v>22454.55</v>
      </c>
      <c r="F15" s="182">
        <f t="shared" si="1"/>
        <v>6591.8504999999996</v>
      </c>
      <c r="G15" s="155">
        <f t="shared" si="2"/>
        <v>16653.335999999999</v>
      </c>
      <c r="H15" s="191">
        <f t="shared" si="3"/>
        <v>23245.1865</v>
      </c>
      <c r="I15" s="200">
        <f>F15*Dashboard!$D$11</f>
        <v>705.98718854999993</v>
      </c>
      <c r="J15" s="203">
        <f>G15*Dashboard!$D$12</f>
        <v>2011.7229887999999</v>
      </c>
      <c r="K15" s="194">
        <f>I15+J15+12*Dashboard!$D$13</f>
        <v>2717.7101773499999</v>
      </c>
      <c r="L15" s="197">
        <v>0</v>
      </c>
      <c r="M15" s="197">
        <v>0</v>
      </c>
    </row>
    <row r="16" spans="1:13">
      <c r="A16" s="534" t="str">
        <f>_xlfn.CONCAT('Capital_Summary (Ref)'!C10," - Retrofit 1 (50% dim)")</f>
        <v>College Ave (Area) - Retrofit 1 (50% dim)</v>
      </c>
      <c r="B16" s="225">
        <f>Capital_R1!G33/1000</f>
        <v>1.6</v>
      </c>
      <c r="C16" s="182">
        <v>1035.9563888888888</v>
      </c>
      <c r="D16" s="155">
        <v>2619.9702777777775</v>
      </c>
      <c r="E16" s="183">
        <f t="shared" si="4"/>
        <v>18149.885833333334</v>
      </c>
      <c r="F16" s="182">
        <f t="shared" si="1"/>
        <v>1657.5302222222222</v>
      </c>
      <c r="G16" s="155">
        <f t="shared" si="2"/>
        <v>4191.9524444444442</v>
      </c>
      <c r="H16" s="191">
        <f t="shared" si="3"/>
        <v>5849.4826666666668</v>
      </c>
      <c r="I16" s="200">
        <f>F16*Dashboard!$D$11</f>
        <v>177.52148679999999</v>
      </c>
      <c r="J16" s="203">
        <f>G16*Dashboard!$D$12</f>
        <v>506.38785528888889</v>
      </c>
      <c r="K16" s="194">
        <f>I16+J16+12*Dashboard!$D$13</f>
        <v>683.90934208888893</v>
      </c>
      <c r="L16" s="197">
        <f>$K$15-K16</f>
        <v>2033.8008352611109</v>
      </c>
      <c r="M16" s="197">
        <f>L16*Dashboard!$D$6</f>
        <v>40676.016705222217</v>
      </c>
    </row>
    <row r="17" spans="1:13">
      <c r="A17" s="535" t="str">
        <f>_xlfn.CONCAT('Capital_Summary (Ref)'!C10," - Retrofit 2 (80% dim)")</f>
        <v>College Ave (Area) - Retrofit 2 (80% dim)</v>
      </c>
      <c r="B17" s="502">
        <f>Capital_R2!G37/1000</f>
        <v>1.845</v>
      </c>
      <c r="C17" s="184">
        <v>925.10238888888875</v>
      </c>
      <c r="D17" s="156">
        <v>2341.5817777777779</v>
      </c>
      <c r="E17" s="185">
        <f t="shared" si="4"/>
        <v>14493.959166666667</v>
      </c>
      <c r="F17" s="184">
        <f t="shared" si="1"/>
        <v>1706.8139074999997</v>
      </c>
      <c r="G17" s="156">
        <f t="shared" si="2"/>
        <v>4320.2183800000003</v>
      </c>
      <c r="H17" s="192">
        <f t="shared" si="3"/>
        <v>6027.0322875000002</v>
      </c>
      <c r="I17" s="201">
        <f>F17*Dashboard!$D$11</f>
        <v>182.79976949324995</v>
      </c>
      <c r="J17" s="204">
        <f>G17*Dashboard!$D$12</f>
        <v>521.88238030400009</v>
      </c>
      <c r="K17" s="195">
        <f>I17+J17+12*Dashboard!$D$13</f>
        <v>704.68214979725008</v>
      </c>
      <c r="L17" s="198">
        <f>$K$15-K17</f>
        <v>2013.0280275527498</v>
      </c>
      <c r="M17" s="230">
        <f>L17*Dashboard!$D$6</f>
        <v>40260.560551054994</v>
      </c>
    </row>
    <row r="18" spans="1:13">
      <c r="A18" s="516" t="str">
        <f>_xlfn.CONCAT('Capital_Summary (Ref)'!C11," - Base Case")</f>
        <v>College Ave (Decorative) - Base Case</v>
      </c>
      <c r="B18" s="274">
        <f>Base_Energy!G41/1000</f>
        <v>5.66</v>
      </c>
      <c r="C18" s="182">
        <f t="array" ref="C18:D20">MMULT(TRANSPOSE(Dashboard!G22:I24),'OpHrs_Summary (Ref)'!D30:E32)</f>
        <v>1220.7130555555555</v>
      </c>
      <c r="D18" s="155">
        <v>3083.951111111111</v>
      </c>
      <c r="E18" s="183">
        <f t="shared" si="4"/>
        <v>11227.275</v>
      </c>
      <c r="F18" s="182">
        <f t="shared" si="1"/>
        <v>6909.2358944444441</v>
      </c>
      <c r="G18" s="155">
        <f t="shared" si="2"/>
        <v>17455.163288888889</v>
      </c>
      <c r="H18" s="191">
        <f t="shared" si="3"/>
        <v>24364.399183333335</v>
      </c>
      <c r="I18" s="200">
        <f>F18*Dashboard!$D$11</f>
        <v>739.97916429499992</v>
      </c>
      <c r="J18" s="203">
        <f>G18*Dashboard!$D$12</f>
        <v>2108.5837252977781</v>
      </c>
      <c r="K18" s="194">
        <f>I18+J18+12*Dashboard!$D$13</f>
        <v>2848.562889592778</v>
      </c>
      <c r="L18" s="197">
        <v>0</v>
      </c>
      <c r="M18" s="197">
        <v>0</v>
      </c>
    </row>
    <row r="19" spans="1:13">
      <c r="A19" s="517" t="str">
        <f>_xlfn.CONCAT('Capital_Summary (Ref)'!C11," - Retrofit 1 (50% dim)")</f>
        <v>College Ave (Decorative) - Retrofit 1 (50% dim)</v>
      </c>
      <c r="B19" s="274">
        <f>Capital_R1!G42/1000</f>
        <v>3.12</v>
      </c>
      <c r="C19" s="182">
        <v>1035.9563888888888</v>
      </c>
      <c r="D19" s="155">
        <v>2619.9702777777775</v>
      </c>
      <c r="E19" s="183">
        <f t="shared" si="4"/>
        <v>6922.6108333333323</v>
      </c>
      <c r="F19" s="182">
        <f t="shared" si="1"/>
        <v>3232.1839333333332</v>
      </c>
      <c r="G19" s="155">
        <f t="shared" si="2"/>
        <v>8174.3072666666658</v>
      </c>
      <c r="H19" s="191">
        <f t="shared" si="3"/>
        <v>11406.491199999999</v>
      </c>
      <c r="I19" s="200">
        <f>F19*Dashboard!$D$11</f>
        <v>346.16689925999998</v>
      </c>
      <c r="J19" s="203">
        <f>G19*Dashboard!$D$12</f>
        <v>987.45631781333327</v>
      </c>
      <c r="K19" s="194">
        <f>I19+J19+12*Dashboard!$D$13</f>
        <v>1333.6232170733333</v>
      </c>
      <c r="L19" s="197">
        <f>$K$18-K19</f>
        <v>1514.9396725194447</v>
      </c>
      <c r="M19" s="197">
        <f>L19*Dashboard!$D$6</f>
        <v>30298.793450388894</v>
      </c>
    </row>
    <row r="20" spans="1:13" ht="15.75" thickBot="1">
      <c r="A20" s="520" t="str">
        <f>_xlfn.CONCAT('Capital_Summary (Ref)'!C11," - Retrofit 2 (80% dim)")</f>
        <v>College Ave (Decorative) - Retrofit 2 (80% dim)</v>
      </c>
      <c r="B20" s="502">
        <f>Capital_R2!G46/1000</f>
        <v>2.8</v>
      </c>
      <c r="C20" s="186">
        <v>925.10238888888875</v>
      </c>
      <c r="D20" s="190">
        <v>2341.5817777777779</v>
      </c>
      <c r="E20" s="187">
        <f t="shared" si="4"/>
        <v>3266.6841666666669</v>
      </c>
      <c r="F20" s="186">
        <f t="shared" si="1"/>
        <v>2590.2866888888884</v>
      </c>
      <c r="G20" s="190">
        <f t="shared" si="2"/>
        <v>6556.4289777777776</v>
      </c>
      <c r="H20" s="193">
        <f t="shared" si="3"/>
        <v>9146.7156666666669</v>
      </c>
      <c r="I20" s="202">
        <f>F20*Dashboard!$D$11</f>
        <v>277.41970437999993</v>
      </c>
      <c r="J20" s="205">
        <f>G20*Dashboard!$D$12</f>
        <v>792.01662051555559</v>
      </c>
      <c r="K20" s="196">
        <f>I20+J20+12*Dashboard!$D$13</f>
        <v>1069.4363248955556</v>
      </c>
      <c r="L20" s="198">
        <f>$K$18-K20</f>
        <v>1779.1265646972224</v>
      </c>
      <c r="M20" s="230">
        <f>L20*Dashboard!$D$6</f>
        <v>35582.531293944448</v>
      </c>
    </row>
    <row r="22" spans="1:13">
      <c r="C22" s="176"/>
      <c r="D22" s="176"/>
      <c r="E22" s="176"/>
    </row>
    <row r="23" spans="1:13">
      <c r="A23" s="17" t="s">
        <v>218</v>
      </c>
      <c r="C23" s="176"/>
      <c r="D23" s="176"/>
      <c r="E23" s="176"/>
    </row>
    <row r="24" spans="1:13">
      <c r="A24" s="41" t="str">
        <f>A9</f>
        <v>Model High School - Base Case</v>
      </c>
    </row>
    <row r="25" spans="1:13">
      <c r="A25" s="41" t="str">
        <f t="shared" ref="A25:A35" si="5">A10</f>
        <v>Model High School - Retrofit 1 (50% dim)</v>
      </c>
      <c r="H25" s="1"/>
    </row>
    <row r="26" spans="1:13">
      <c r="A26" s="41" t="str">
        <f t="shared" si="5"/>
        <v>Model High School - Retrofit 2 (80% dim)</v>
      </c>
    </row>
    <row r="27" spans="1:13">
      <c r="A27" s="41" t="str">
        <f t="shared" si="5"/>
        <v>College Ave (Roadway) - Base Case</v>
      </c>
    </row>
    <row r="28" spans="1:13">
      <c r="A28" s="41" t="str">
        <f t="shared" si="5"/>
        <v>College Ave (Roadway) - Retrofit 1 (50% dim)</v>
      </c>
    </row>
    <row r="29" spans="1:13">
      <c r="A29" s="41" t="str">
        <f t="shared" si="5"/>
        <v>College Ave (Roadway) - Retrofit 2 (80% dim)</v>
      </c>
    </row>
    <row r="30" spans="1:13">
      <c r="A30" s="41" t="str">
        <f t="shared" si="5"/>
        <v>College Ave (Area) - Base Case</v>
      </c>
    </row>
    <row r="31" spans="1:13">
      <c r="A31" s="41" t="str">
        <f t="shared" si="5"/>
        <v>College Ave (Area) - Retrofit 1 (50% dim)</v>
      </c>
    </row>
    <row r="32" spans="1:13">
      <c r="A32" s="41" t="str">
        <f t="shared" si="5"/>
        <v>College Ave (Area) - Retrofit 2 (80% dim)</v>
      </c>
    </row>
    <row r="33" spans="1:1">
      <c r="A33" s="41" t="str">
        <f t="shared" si="5"/>
        <v>College Ave (Decorative) - Base Case</v>
      </c>
    </row>
    <row r="34" spans="1:1">
      <c r="A34" s="41" t="str">
        <f t="shared" si="5"/>
        <v>College Ave (Decorative) - Retrofit 1 (50% dim)</v>
      </c>
    </row>
    <row r="35" spans="1:1">
      <c r="A35" s="41" t="str">
        <f t="shared" si="5"/>
        <v>College Ave (Decorative) - Retrofit 2 (80% dim)</v>
      </c>
    </row>
  </sheetData>
  <mergeCells count="3">
    <mergeCell ref="F7:H7"/>
    <mergeCell ref="C7:E7"/>
    <mergeCell ref="I7:K7"/>
  </mergeCells>
  <conditionalFormatting sqref="L9:L21">
    <cfRule type="cellIs" dxfId="2" priority="11" operator="lessThan">
      <formula>0</formula>
    </cfRule>
  </conditionalFormatting>
  <conditionalFormatting sqref="L9:M20">
    <cfRule type="cellIs" dxfId="1" priority="2" operator="greaterThan">
      <formula>0</formula>
    </cfRule>
  </conditionalFormatting>
  <conditionalFormatting sqref="M9:M20">
    <cfRule type="cellIs" dxfId="0" priority="1" operator="lessThan">
      <formula>0</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07BD6-81E4-4589-9B26-99A4551348E6}">
  <sheetPr codeName="Sheet12">
    <tabColor theme="7" tint="0.79998168889431442"/>
  </sheetPr>
  <dimension ref="A1:S27"/>
  <sheetViews>
    <sheetView showGridLines="0" topLeftCell="J5" zoomScaleNormal="100" workbookViewId="0">
      <selection activeCell="O7" sqref="O7"/>
    </sheetView>
  </sheetViews>
  <sheetFormatPr defaultRowHeight="15"/>
  <cols>
    <col min="1" max="1" width="4.7109375" customWidth="1"/>
    <col min="2" max="2" width="19.28515625" customWidth="1"/>
    <col min="3" max="3" width="21.140625" customWidth="1"/>
    <col min="4" max="4" width="19.140625" customWidth="1"/>
    <col min="5" max="5" width="3.7109375" customWidth="1"/>
    <col min="6" max="6" width="41.85546875" bestFit="1" customWidth="1"/>
    <col min="7" max="9" width="12.7109375" style="38" customWidth="1"/>
    <col min="10" max="10" width="2.28515625" customWidth="1"/>
    <col min="11" max="13" width="12.7109375" customWidth="1"/>
    <col min="14" max="14" width="4.5703125" customWidth="1"/>
  </cols>
  <sheetData>
    <row r="1" spans="1:19" ht="38.25" customHeight="1">
      <c r="A1" s="209" t="s">
        <v>219</v>
      </c>
      <c r="B1" s="209"/>
      <c r="C1" s="209"/>
      <c r="D1" s="209"/>
      <c r="E1" s="209"/>
      <c r="F1" s="209"/>
      <c r="G1" s="212"/>
      <c r="H1" s="212"/>
      <c r="I1" s="212"/>
      <c r="J1" s="209"/>
      <c r="K1" s="211"/>
      <c r="L1" s="209"/>
      <c r="M1" s="209"/>
      <c r="N1" s="209"/>
      <c r="O1" s="209"/>
      <c r="P1" s="209"/>
      <c r="Q1" s="209"/>
      <c r="R1" s="209"/>
      <c r="S1" s="209"/>
    </row>
    <row r="5" spans="1:19">
      <c r="B5" s="31"/>
      <c r="C5" s="31"/>
      <c r="D5" s="31"/>
    </row>
    <row r="6" spans="1:19" ht="18.75">
      <c r="B6" s="232" t="s">
        <v>220</v>
      </c>
      <c r="C6" s="132"/>
      <c r="D6" s="132"/>
      <c r="F6" s="158"/>
      <c r="G6" s="571" t="s">
        <v>221</v>
      </c>
      <c r="H6" s="571"/>
      <c r="I6" s="571"/>
      <c r="J6" s="216"/>
      <c r="K6" s="571" t="s">
        <v>222</v>
      </c>
      <c r="L6" s="571"/>
      <c r="M6" s="571"/>
      <c r="O6" s="158"/>
      <c r="P6" s="158"/>
      <c r="Q6" s="158"/>
      <c r="R6" s="158"/>
      <c r="S6" s="158"/>
    </row>
    <row r="7" spans="1:19">
      <c r="B7" s="529" t="s">
        <v>223</v>
      </c>
      <c r="C7" s="17" t="s">
        <v>224</v>
      </c>
      <c r="D7" s="488" t="s">
        <v>225</v>
      </c>
      <c r="F7" s="16" t="s">
        <v>54</v>
      </c>
      <c r="G7" s="542" t="s">
        <v>75</v>
      </c>
      <c r="H7" s="542" t="s">
        <v>109</v>
      </c>
      <c r="I7" s="542" t="s">
        <v>104</v>
      </c>
      <c r="J7" s="208"/>
      <c r="K7" s="542" t="s">
        <v>75</v>
      </c>
      <c r="L7" s="542" t="s">
        <v>109</v>
      </c>
      <c r="M7" s="542" t="s">
        <v>104</v>
      </c>
      <c r="O7" s="16" t="s">
        <v>226</v>
      </c>
      <c r="P7" s="208"/>
      <c r="Q7" s="208"/>
      <c r="R7" s="208"/>
      <c r="S7" s="208"/>
    </row>
    <row r="8" spans="1:19">
      <c r="B8" t="s">
        <v>227</v>
      </c>
      <c r="C8" s="207">
        <v>26.25</v>
      </c>
      <c r="D8" s="207">
        <v>35</v>
      </c>
      <c r="F8" s="511" t="str">
        <f>Energy!A10</f>
        <v>Model High School - Retrofit 1 (50% dim)</v>
      </c>
      <c r="G8" s="334">
        <f>D13*42+D22*1+D24*19+16*D8</f>
        <v>5305</v>
      </c>
      <c r="H8" s="334">
        <f>Energy!B10*0.4*1000</f>
        <v>4939.2000000000007</v>
      </c>
      <c r="I8" s="334">
        <f t="shared" ref="I8:I15" si="0">G8+H8</f>
        <v>10244.200000000001</v>
      </c>
      <c r="J8" s="335"/>
      <c r="K8" s="483">
        <f>(Energy!B9-Energy!B10)*$P$9*1000</f>
        <v>15076.249999999998</v>
      </c>
      <c r="L8" s="334">
        <f>(Energy!B10)*$P$10*1000</f>
        <v>6174</v>
      </c>
      <c r="M8" s="334">
        <f t="shared" ref="M8:M15" si="1">K8+L8</f>
        <v>21250.25</v>
      </c>
    </row>
    <row r="9" spans="1:19">
      <c r="B9" t="s">
        <v>228</v>
      </c>
      <c r="C9" s="207">
        <v>26.25</v>
      </c>
      <c r="D9" s="207">
        <v>35</v>
      </c>
      <c r="F9" s="532" t="str">
        <f>Energy!A11</f>
        <v>Model High School - Retrofit 2 (80% dim)</v>
      </c>
      <c r="G9" s="215">
        <f>D13*13+D10*14+D12*15+D24*19+D22*1+D8*16</f>
        <v>4155</v>
      </c>
      <c r="H9" s="215">
        <f>Energy!B11*0.4*1000</f>
        <v>3922.3999999999996</v>
      </c>
      <c r="I9" s="215">
        <f t="shared" si="0"/>
        <v>8077.4</v>
      </c>
      <c r="J9" s="336"/>
      <c r="K9" s="484">
        <f>(Energy!B9-Energy!B11)*$P$9*1000</f>
        <v>18253.75</v>
      </c>
      <c r="L9" s="215">
        <f>(Energy!B11)*$P$10*1000</f>
        <v>4903</v>
      </c>
      <c r="M9" s="215">
        <f t="shared" si="1"/>
        <v>23156.75</v>
      </c>
      <c r="O9" t="s">
        <v>229</v>
      </c>
      <c r="P9" s="64">
        <v>1.25</v>
      </c>
      <c r="Q9" t="s">
        <v>230</v>
      </c>
    </row>
    <row r="10" spans="1:19">
      <c r="B10" t="s">
        <v>231</v>
      </c>
      <c r="C10" s="207">
        <v>30</v>
      </c>
      <c r="D10" s="207">
        <v>40</v>
      </c>
      <c r="F10" s="513" t="str">
        <f>Energy!A13</f>
        <v>College Ave (Roadway) - Retrofit 1 (50% dim)</v>
      </c>
      <c r="G10" s="213">
        <f>D19*6</f>
        <v>300</v>
      </c>
      <c r="H10" s="213">
        <f>0.4*Energy!B13*1000</f>
        <v>669.6</v>
      </c>
      <c r="I10" s="213">
        <f t="shared" si="0"/>
        <v>969.6</v>
      </c>
      <c r="K10" s="485">
        <f>(Energy!B12-Energy!B13)*$P$9*1000</f>
        <v>1357.5</v>
      </c>
      <c r="L10" s="213">
        <f>(Energy!B13)*$P$10*1000</f>
        <v>837</v>
      </c>
      <c r="M10" s="213">
        <f t="shared" si="1"/>
        <v>2194.5</v>
      </c>
      <c r="O10" t="s">
        <v>232</v>
      </c>
      <c r="P10" s="64">
        <v>0.5</v>
      </c>
      <c r="Q10" t="s">
        <v>233</v>
      </c>
    </row>
    <row r="11" spans="1:19">
      <c r="B11" t="s">
        <v>234</v>
      </c>
      <c r="C11" s="207">
        <v>37.5</v>
      </c>
      <c r="D11" s="207">
        <v>50</v>
      </c>
      <c r="F11" s="528" t="str">
        <f>Energy!A14</f>
        <v>College Ave (Roadway) - Retrofit 2 (80% dim)</v>
      </c>
      <c r="G11" s="214">
        <f>D19*6</f>
        <v>300</v>
      </c>
      <c r="H11" s="214">
        <f>0.4*Energy!B14*1000</f>
        <v>595.20000000000005</v>
      </c>
      <c r="I11" s="214">
        <f t="shared" si="0"/>
        <v>895.2</v>
      </c>
      <c r="J11" s="31"/>
      <c r="K11" s="486">
        <f>(Energy!B12-Energy!B14)*$P$9*1000</f>
        <v>1589.9999999999998</v>
      </c>
      <c r="L11" s="214">
        <f>(Energy!B14)*$P$10*1000</f>
        <v>744</v>
      </c>
      <c r="M11" s="214">
        <f t="shared" si="1"/>
        <v>2334</v>
      </c>
    </row>
    <row r="12" spans="1:19">
      <c r="B12" t="s">
        <v>235</v>
      </c>
      <c r="C12" s="207">
        <v>45</v>
      </c>
      <c r="D12" s="207">
        <v>60</v>
      </c>
      <c r="F12" s="515" t="str">
        <f>Energy!A16</f>
        <v>College Ave (Area) - Retrofit 1 (50% dim)</v>
      </c>
      <c r="G12" s="334">
        <f>D19*5</f>
        <v>250</v>
      </c>
      <c r="H12" s="213">
        <f>0.4*Energy!B16*1000</f>
        <v>640.00000000000011</v>
      </c>
      <c r="I12" s="213">
        <f t="shared" si="0"/>
        <v>890.00000000000011</v>
      </c>
      <c r="K12" s="483">
        <f>(Energy!B15-Energy!B16)*$P$9*1000</f>
        <v>4750</v>
      </c>
      <c r="L12" s="213">
        <f>(Energy!B16)*$P$10*1000</f>
        <v>800</v>
      </c>
      <c r="M12" s="213">
        <f t="shared" si="1"/>
        <v>5550</v>
      </c>
    </row>
    <row r="13" spans="1:19">
      <c r="B13" s="31" t="s">
        <v>236</v>
      </c>
      <c r="C13" s="490">
        <v>67.5</v>
      </c>
      <c r="D13" s="490">
        <v>90</v>
      </c>
      <c r="F13" s="524" t="str">
        <f>Energy!A17</f>
        <v>College Ave (Area) - Retrofit 2 (80% dim)</v>
      </c>
      <c r="G13" s="215">
        <f>D19*5</f>
        <v>250</v>
      </c>
      <c r="H13" s="214">
        <f>0.4*Energy!B17*1000</f>
        <v>738</v>
      </c>
      <c r="I13" s="214">
        <f t="shared" si="0"/>
        <v>988</v>
      </c>
      <c r="J13" s="31"/>
      <c r="K13" s="484">
        <f>(Energy!B15-Energy!B17)*$P$9*1000</f>
        <v>4443.7500000000009</v>
      </c>
      <c r="L13" s="214">
        <f>(Energy!B17)*$P$10*1000</f>
        <v>922.5</v>
      </c>
      <c r="M13" s="214">
        <f t="shared" si="1"/>
        <v>5366.2500000000009</v>
      </c>
    </row>
    <row r="14" spans="1:19">
      <c r="C14" s="206"/>
      <c r="D14" s="206"/>
      <c r="F14" s="517" t="str">
        <f>Energy!A19</f>
        <v>College Ave (Decorative) - Retrofit 1 (50% dim)</v>
      </c>
      <c r="G14" s="213">
        <f>50*20</f>
        <v>1000</v>
      </c>
      <c r="H14" s="213">
        <f>0.4*Energy!B19*1000</f>
        <v>1248.0000000000002</v>
      </c>
      <c r="I14" s="213">
        <f t="shared" si="0"/>
        <v>2248</v>
      </c>
      <c r="K14" s="485">
        <f>(Energy!B18-Energy!B19)*$P$9*1000</f>
        <v>3175</v>
      </c>
      <c r="L14" s="213">
        <f>(Energy!B19)*$P$10*1000</f>
        <v>1560</v>
      </c>
      <c r="M14" s="213">
        <f t="shared" si="1"/>
        <v>4735</v>
      </c>
    </row>
    <row r="15" spans="1:19">
      <c r="B15" s="525" t="s">
        <v>237</v>
      </c>
      <c r="C15" s="487" t="s">
        <v>224</v>
      </c>
      <c r="D15" s="487" t="s">
        <v>225</v>
      </c>
      <c r="F15" s="520" t="str">
        <f>Energy!A20</f>
        <v>College Ave (Decorative) - Retrofit 2 (80% dim)</v>
      </c>
      <c r="G15" s="215">
        <f>50*20</f>
        <v>1000</v>
      </c>
      <c r="H15" s="215">
        <f>0.4*Energy!B20*1000</f>
        <v>1119.9999999999998</v>
      </c>
      <c r="I15" s="215">
        <f t="shared" si="0"/>
        <v>2120</v>
      </c>
      <c r="J15" s="31"/>
      <c r="K15" s="484">
        <f>(Energy!B18-Energy!B20)*$P$9*1000</f>
        <v>3575</v>
      </c>
      <c r="L15" s="215">
        <f>(Energy!B20)*$P$10*1000</f>
        <v>1400</v>
      </c>
      <c r="M15" s="215">
        <f t="shared" si="1"/>
        <v>4975</v>
      </c>
    </row>
    <row r="16" spans="1:19">
      <c r="B16" t="s">
        <v>238</v>
      </c>
      <c r="C16" s="207">
        <v>18.75</v>
      </c>
      <c r="D16" s="207">
        <v>25</v>
      </c>
    </row>
    <row r="17" spans="2:6">
      <c r="B17" t="s">
        <v>239</v>
      </c>
      <c r="C17" s="207">
        <v>18.75</v>
      </c>
      <c r="D17" s="207">
        <v>25</v>
      </c>
    </row>
    <row r="18" spans="2:6">
      <c r="B18" t="s">
        <v>240</v>
      </c>
      <c r="C18" s="207">
        <v>30</v>
      </c>
      <c r="D18" s="207">
        <v>40</v>
      </c>
      <c r="F18" s="31"/>
    </row>
    <row r="19" spans="2:6">
      <c r="B19" s="31" t="s">
        <v>241</v>
      </c>
      <c r="C19" s="490">
        <v>37.5</v>
      </c>
      <c r="D19" s="490">
        <v>50</v>
      </c>
      <c r="F19" s="16" t="s">
        <v>242</v>
      </c>
    </row>
    <row r="20" spans="2:6">
      <c r="C20" s="206"/>
      <c r="D20" s="206"/>
      <c r="F20" t="str">
        <f t="shared" ref="F20:F27" si="2">F8</f>
        <v>Model High School - Retrofit 1 (50% dim)</v>
      </c>
    </row>
    <row r="21" spans="2:6">
      <c r="B21" s="521" t="s">
        <v>243</v>
      </c>
      <c r="C21" s="487" t="s">
        <v>224</v>
      </c>
      <c r="D21" s="489" t="s">
        <v>225</v>
      </c>
      <c r="F21" t="str">
        <f t="shared" si="2"/>
        <v>Model High School - Retrofit 2 (80% dim)</v>
      </c>
    </row>
    <row r="22" spans="2:6">
      <c r="B22" t="s">
        <v>244</v>
      </c>
      <c r="C22" s="207">
        <v>11.25</v>
      </c>
      <c r="D22" s="207">
        <v>15</v>
      </c>
      <c r="F22" t="str">
        <f t="shared" si="2"/>
        <v>College Ave (Roadway) - Retrofit 1 (50% dim)</v>
      </c>
    </row>
    <row r="23" spans="2:6">
      <c r="B23" t="s">
        <v>245</v>
      </c>
      <c r="C23" s="207">
        <v>22.5</v>
      </c>
      <c r="D23" s="207">
        <v>30</v>
      </c>
      <c r="F23" t="str">
        <f t="shared" si="2"/>
        <v>College Ave (Roadway) - Retrofit 2 (80% dim)</v>
      </c>
    </row>
    <row r="24" spans="2:6">
      <c r="B24" s="31" t="s">
        <v>246</v>
      </c>
      <c r="C24" s="490">
        <v>37.5</v>
      </c>
      <c r="D24" s="490">
        <v>50</v>
      </c>
      <c r="F24" t="str">
        <f t="shared" si="2"/>
        <v>College Ave (Area) - Retrofit 1 (50% dim)</v>
      </c>
    </row>
    <row r="25" spans="2:6">
      <c r="F25" t="str">
        <f t="shared" si="2"/>
        <v>College Ave (Area) - Retrofit 2 (80% dim)</v>
      </c>
    </row>
    <row r="26" spans="2:6">
      <c r="F26" t="str">
        <f t="shared" si="2"/>
        <v>College Ave (Decorative) - Retrofit 1 (50% dim)</v>
      </c>
    </row>
    <row r="27" spans="2:6">
      <c r="F27" s="31" t="str">
        <f t="shared" si="2"/>
        <v>College Ave (Decorative) - Retrofit 2 (80% dim)</v>
      </c>
    </row>
  </sheetData>
  <mergeCells count="2">
    <mergeCell ref="K6:M6"/>
    <mergeCell ref="G6:I6"/>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40653-0DE1-4770-B4B4-942D0B5DDAEC}">
  <sheetPr codeName="Sheet13"/>
  <dimension ref="A1:AD31"/>
  <sheetViews>
    <sheetView topLeftCell="A8" workbookViewId="0">
      <pane xSplit="1" topLeftCell="B1" activePane="topRight" state="frozen"/>
      <selection pane="topRight" activeCell="A22" sqref="A22"/>
    </sheetView>
  </sheetViews>
  <sheetFormatPr defaultRowHeight="15"/>
  <cols>
    <col min="1" max="1" width="42.85546875" customWidth="1"/>
    <col min="2" max="2" width="14.28515625" customWidth="1"/>
    <col min="3" max="3" width="11.5703125" bestFit="1" customWidth="1"/>
    <col min="4" max="4" width="12.5703125" bestFit="1" customWidth="1"/>
    <col min="5" max="5" width="1.7109375" customWidth="1"/>
    <col min="6" max="6" width="10.5703125" bestFit="1" customWidth="1"/>
    <col min="7" max="7" width="9.5703125" bestFit="1" customWidth="1"/>
    <col min="8" max="8" width="10.5703125" bestFit="1" customWidth="1"/>
    <col min="9" max="9" width="1.7109375" customWidth="1"/>
    <col min="10" max="10" width="16.42578125" customWidth="1"/>
    <col min="11" max="11" width="1.7109375" customWidth="1"/>
    <col min="12" max="13" width="18" customWidth="1"/>
    <col min="15" max="15" width="10.5703125" bestFit="1" customWidth="1"/>
    <col min="16" max="16" width="1.7109375" customWidth="1"/>
    <col min="17" max="19" width="12.7109375" customWidth="1"/>
    <col min="20" max="20" width="1.7109375" customWidth="1"/>
    <col min="21" max="21" width="16.140625" customWidth="1"/>
    <col min="22" max="22" width="10.5703125" bestFit="1" customWidth="1"/>
    <col min="23" max="23" width="11.5703125" bestFit="1" customWidth="1"/>
    <col min="24" max="24" width="1.7109375" customWidth="1"/>
    <col min="25" max="25" width="14.85546875" customWidth="1"/>
    <col min="26" max="26" width="2" customWidth="1"/>
    <col min="27" max="27" width="9.140625" style="245"/>
  </cols>
  <sheetData>
    <row r="1" spans="1:30" ht="38.25" customHeight="1">
      <c r="A1" s="209" t="s">
        <v>247</v>
      </c>
      <c r="B1" s="209"/>
      <c r="C1" s="209"/>
      <c r="D1" s="209"/>
      <c r="E1" s="209"/>
      <c r="F1" s="209"/>
      <c r="G1" s="210"/>
      <c r="H1" s="209"/>
      <c r="I1" s="209"/>
      <c r="J1" s="209"/>
      <c r="K1" s="209"/>
      <c r="L1" s="211"/>
      <c r="M1" s="211"/>
      <c r="N1" s="209"/>
      <c r="O1" s="209"/>
      <c r="P1" s="208"/>
      <c r="Q1" s="208"/>
      <c r="R1" s="208"/>
      <c r="S1" s="208"/>
      <c r="T1" s="208"/>
      <c r="U1" s="208"/>
      <c r="V1" s="208"/>
      <c r="W1" s="208"/>
      <c r="X1" s="208"/>
      <c r="Y1" s="208"/>
      <c r="Z1" s="208"/>
      <c r="AA1" s="208"/>
    </row>
    <row r="5" spans="1:30">
      <c r="A5" s="31"/>
      <c r="B5" s="31"/>
      <c r="C5" s="31"/>
      <c r="D5" s="31"/>
      <c r="E5" s="31"/>
      <c r="F5" s="31"/>
      <c r="G5" s="31"/>
      <c r="H5" s="31"/>
      <c r="I5" s="31"/>
      <c r="J5" s="31"/>
      <c r="K5" s="31"/>
      <c r="L5" s="31"/>
      <c r="M5" s="31"/>
      <c r="N5" s="31"/>
      <c r="O5" s="31"/>
      <c r="P5" s="31"/>
      <c r="Q5" s="31"/>
      <c r="R5" s="31"/>
      <c r="S5" s="31"/>
      <c r="T5" s="31"/>
      <c r="U5" s="31"/>
      <c r="V5" s="31"/>
      <c r="W5" s="31"/>
      <c r="X5" s="31"/>
      <c r="Y5" s="31"/>
      <c r="Z5" s="31"/>
      <c r="AA5" s="242"/>
    </row>
    <row r="6" spans="1:30">
      <c r="A6" s="132"/>
      <c r="B6" s="572" t="s">
        <v>248</v>
      </c>
      <c r="C6" s="572"/>
      <c r="D6" s="572"/>
      <c r="E6" s="132"/>
      <c r="F6" s="560" t="s">
        <v>249</v>
      </c>
      <c r="G6" s="560"/>
      <c r="H6" s="560"/>
      <c r="I6" s="132"/>
      <c r="J6" s="573" t="s">
        <v>250</v>
      </c>
      <c r="K6" s="231"/>
      <c r="L6" s="572" t="s">
        <v>251</v>
      </c>
      <c r="M6" s="572"/>
      <c r="N6" s="572"/>
      <c r="O6" s="572"/>
      <c r="P6" s="132"/>
      <c r="Q6" s="560" t="s">
        <v>213</v>
      </c>
      <c r="R6" s="560"/>
      <c r="S6" s="560"/>
      <c r="T6" s="132"/>
      <c r="U6" s="560" t="s">
        <v>252</v>
      </c>
      <c r="V6" s="560"/>
      <c r="W6" s="560"/>
      <c r="X6" s="132"/>
      <c r="Y6" s="10" t="s">
        <v>253</v>
      </c>
      <c r="Z6" s="132"/>
      <c r="AA6" s="243"/>
    </row>
    <row r="7" spans="1:30">
      <c r="A7" s="15" t="s">
        <v>54</v>
      </c>
      <c r="B7" s="542" t="s">
        <v>176</v>
      </c>
      <c r="C7" s="542" t="s">
        <v>177</v>
      </c>
      <c r="D7" s="542" t="s">
        <v>104</v>
      </c>
      <c r="E7" s="208"/>
      <c r="F7" s="16" t="s">
        <v>75</v>
      </c>
      <c r="G7" s="16" t="s">
        <v>109</v>
      </c>
      <c r="H7" s="16" t="s">
        <v>104</v>
      </c>
      <c r="I7" s="208"/>
      <c r="J7" s="574"/>
      <c r="K7" s="94"/>
      <c r="L7" s="542" t="s">
        <v>254</v>
      </c>
      <c r="M7" s="542" t="s">
        <v>255</v>
      </c>
      <c r="N7" s="542" t="s">
        <v>208</v>
      </c>
      <c r="O7" s="542" t="s">
        <v>104</v>
      </c>
      <c r="P7" s="208"/>
      <c r="Q7" s="233" t="s">
        <v>57</v>
      </c>
      <c r="R7" s="175" t="s">
        <v>59</v>
      </c>
      <c r="S7" s="542" t="s">
        <v>104</v>
      </c>
      <c r="T7" s="208"/>
      <c r="U7" s="542" t="s">
        <v>256</v>
      </c>
      <c r="V7" s="542" t="s">
        <v>35</v>
      </c>
      <c r="W7" s="542" t="s">
        <v>104</v>
      </c>
      <c r="X7" s="208"/>
      <c r="Y7" s="16" t="s">
        <v>257</v>
      </c>
      <c r="Z7" s="208"/>
      <c r="AA7" s="244" t="s">
        <v>258</v>
      </c>
    </row>
    <row r="8" spans="1:30">
      <c r="A8" s="511" t="str">
        <f>Energy!A9</f>
        <v>Model High School - Base Case</v>
      </c>
      <c r="B8" s="238"/>
      <c r="C8" s="238"/>
      <c r="D8" s="238"/>
      <c r="F8" s="238"/>
      <c r="G8" s="238"/>
      <c r="H8" s="238"/>
      <c r="J8" s="238"/>
      <c r="K8" s="229"/>
      <c r="L8" s="229">
        <f>Maint_Base!M14</f>
        <v>5532.3543869999994</v>
      </c>
      <c r="M8" s="229">
        <f>Maint_Base!S14</f>
        <v>813.58152749999988</v>
      </c>
      <c r="N8" s="229">
        <f>Maint_Base!V14</f>
        <v>0</v>
      </c>
      <c r="O8" s="229">
        <f>Maint_Base!Z14</f>
        <v>6345.9359144999999</v>
      </c>
      <c r="P8" s="229"/>
      <c r="Q8" s="234">
        <f>Energy!I9</f>
        <v>3191.1928306142495</v>
      </c>
      <c r="R8" s="235">
        <f>Energy!J9</f>
        <v>9093.3604506702213</v>
      </c>
      <c r="S8" s="229">
        <f>Energy!K9</f>
        <v>12284.55328128447</v>
      </c>
      <c r="U8" s="132"/>
      <c r="V8" s="132"/>
      <c r="W8" s="132"/>
      <c r="X8" s="132"/>
      <c r="Y8" s="132"/>
      <c r="Z8" s="132"/>
      <c r="AA8" s="243"/>
    </row>
    <row r="9" spans="1:30">
      <c r="A9" s="511" t="str">
        <f>Energy!A10</f>
        <v>Model High School - Retrofit 1 (50% dim)</v>
      </c>
      <c r="B9" s="229">
        <f>Capital_R1!L15</f>
        <v>89746.89143399999</v>
      </c>
      <c r="C9" s="229">
        <f>Capital_R1!O15</f>
        <v>11113</v>
      </c>
      <c r="D9" s="229">
        <f>Capital_R1!Q15</f>
        <v>100859.89143399999</v>
      </c>
      <c r="F9" s="229">
        <f>IF(Dashboard!$D$15=1,Rebates!G8,Rebates!K8)</f>
        <v>15076.249999999998</v>
      </c>
      <c r="G9" s="229">
        <f>IF(Dashboard!$D$15=1,Rebates!H8,Rebates!L8)</f>
        <v>6174</v>
      </c>
      <c r="H9" s="229">
        <f>IF(Dashboard!$D$15=1,Rebates!I8,Rebates!M8)</f>
        <v>21250.25</v>
      </c>
      <c r="J9" s="229">
        <f t="shared" ref="J9:J10" si="0">D9-H9</f>
        <v>79609.64143399999</v>
      </c>
      <c r="K9" s="229"/>
      <c r="L9" s="229">
        <f>Maint_R1!M15</f>
        <v>40.081480391999989</v>
      </c>
      <c r="M9" s="229">
        <f>Maint_R1!S15</f>
        <v>88.965000000000003</v>
      </c>
      <c r="N9" s="229">
        <f>Maint_R1!V15</f>
        <v>0</v>
      </c>
      <c r="O9" s="229">
        <f>Maint_R1!Z15</f>
        <v>129.04648039200001</v>
      </c>
      <c r="P9" s="229"/>
      <c r="Q9" s="234">
        <f>Energy!I10</f>
        <v>1128.009917979</v>
      </c>
      <c r="R9" s="235">
        <f>Energy!J10</f>
        <v>3364.3460763920002</v>
      </c>
      <c r="S9" s="229">
        <f>Energy!K10</f>
        <v>4492.3559943710006</v>
      </c>
      <c r="U9" s="229">
        <f>O8-O9</f>
        <v>6216.8894341079995</v>
      </c>
      <c r="V9" s="229">
        <f>S8-S9</f>
        <v>7792.1972869134697</v>
      </c>
      <c r="W9" s="229">
        <f>V9+U9</f>
        <v>14009.086721021469</v>
      </c>
      <c r="Y9" s="240">
        <f>J9/W9</f>
        <v>5.6827145851371581</v>
      </c>
      <c r="AA9" s="245">
        <f>W9/J9</f>
        <v>0.17597223739081452</v>
      </c>
      <c r="AC9" s="337"/>
      <c r="AD9" s="337"/>
    </row>
    <row r="10" spans="1:30">
      <c r="A10" s="532" t="str">
        <f>Energy!A11</f>
        <v>Model High School - Retrofit 2 (80% dim)</v>
      </c>
      <c r="B10" s="226">
        <f>Capital_R2!L19</f>
        <v>91982.957246099977</v>
      </c>
      <c r="C10" s="226">
        <f>Capital_R2!O19</f>
        <v>11113</v>
      </c>
      <c r="D10" s="226">
        <f>Capital_R2!Q19</f>
        <v>103095.95724609998</v>
      </c>
      <c r="E10" s="31"/>
      <c r="F10" s="226">
        <f>IF(Dashboard!$D$15=1,Rebates!G9,Rebates!K9)</f>
        <v>18253.75</v>
      </c>
      <c r="G10" s="226">
        <f>IF(Dashboard!$D$15=1,Rebates!H9,Rebates!L9)</f>
        <v>4903</v>
      </c>
      <c r="H10" s="226">
        <f>IF(Dashboard!$D$15=1,Rebates!I9,Rebates!M9)</f>
        <v>23156.75</v>
      </c>
      <c r="I10" s="31"/>
      <c r="J10" s="226">
        <f t="shared" si="0"/>
        <v>79939.207246099977</v>
      </c>
      <c r="K10" s="226"/>
      <c r="L10" s="226">
        <f>Maint_R2!M19</f>
        <v>41.199513298049993</v>
      </c>
      <c r="M10" s="226">
        <f>Maint_R2!S19</f>
        <v>88.965000000000003</v>
      </c>
      <c r="N10" s="226">
        <f>Maint_R2!V19</f>
        <v>0</v>
      </c>
      <c r="O10" s="226">
        <f>Maint_R2!Z19</f>
        <v>130.16451329805</v>
      </c>
      <c r="P10" s="226"/>
      <c r="Q10" s="236">
        <f>Energy!I11</f>
        <v>664.05825884509989</v>
      </c>
      <c r="R10" s="237">
        <f>Energy!J11</f>
        <v>2082.9171589169773</v>
      </c>
      <c r="S10" s="226">
        <f>Energy!K11</f>
        <v>2746.9754177620771</v>
      </c>
      <c r="T10" s="31"/>
      <c r="U10" s="226">
        <f>O8-O10</f>
        <v>6215.7714012019496</v>
      </c>
      <c r="V10" s="226">
        <f>S8-S10</f>
        <v>9537.5778635223942</v>
      </c>
      <c r="W10" s="226">
        <f>V10+U10</f>
        <v>15753.349264724344</v>
      </c>
      <c r="X10" s="31"/>
      <c r="Y10" s="241">
        <f>J10/W10</f>
        <v>5.0744261364853811</v>
      </c>
      <c r="Z10" s="31"/>
      <c r="AA10" s="242">
        <f>W10/J10</f>
        <v>0.19706661858962715</v>
      </c>
      <c r="AC10" s="337"/>
      <c r="AD10" s="337"/>
    </row>
    <row r="11" spans="1:30">
      <c r="A11" s="513" t="str">
        <f>Energy!A12</f>
        <v>College Ave (Roadway) - Base Case</v>
      </c>
      <c r="B11" s="238"/>
      <c r="C11" s="238"/>
      <c r="D11" s="238"/>
      <c r="F11" s="238"/>
      <c r="G11" s="238"/>
      <c r="H11" s="238"/>
      <c r="J11" s="238"/>
      <c r="K11" s="229"/>
      <c r="L11" s="229">
        <f>Maint_Base!M22</f>
        <v>164.65340437499998</v>
      </c>
      <c r="M11" s="229">
        <f>Maint_Base!S22</f>
        <v>58.112966249999999</v>
      </c>
      <c r="N11" s="229">
        <f>Maint_Base!V22</f>
        <v>0</v>
      </c>
      <c r="O11" s="229">
        <f>Maint_Base!Z22</f>
        <v>222.76637062499998</v>
      </c>
      <c r="P11" s="229"/>
      <c r="Q11" s="234">
        <f>Energy!I12</f>
        <v>360.83789636999995</v>
      </c>
      <c r="R11" s="235">
        <f>Energy!J12</f>
        <v>1028.2139720533332</v>
      </c>
      <c r="S11" s="229">
        <f>Energy!K12</f>
        <v>1389.0518684233332</v>
      </c>
      <c r="U11" s="239"/>
      <c r="V11" s="239"/>
      <c r="W11" s="239"/>
      <c r="X11" s="132"/>
      <c r="Y11" s="132"/>
      <c r="Z11" s="132"/>
      <c r="AA11" s="243"/>
      <c r="AC11" s="337"/>
      <c r="AD11" s="337"/>
    </row>
    <row r="12" spans="1:30">
      <c r="A12" s="513" t="str">
        <f>Energy!A13</f>
        <v>College Ave (Roadway) - Retrofit 1 (50% dim)</v>
      </c>
      <c r="B12" s="229">
        <f>Capital_R1!L24</f>
        <v>12452.962617899997</v>
      </c>
      <c r="C12" s="229">
        <f>Capital_R1!O24</f>
        <v>1150</v>
      </c>
      <c r="D12" s="229">
        <f>Capital_R1!Q24</f>
        <v>13602.962617899997</v>
      </c>
      <c r="F12" s="229">
        <f>IF(Dashboard!$D$15=1,Rebates!G10,Rebates!K10)</f>
        <v>1357.5</v>
      </c>
      <c r="G12" s="229">
        <f>IF(Dashboard!$D$15=1,Rebates!H10,Rebates!L10)</f>
        <v>837</v>
      </c>
      <c r="H12" s="229">
        <f>IF(Dashboard!$D$15=1,Rebates!I10,Rebates!M10)</f>
        <v>2194.5</v>
      </c>
      <c r="J12" s="229">
        <f>D12-H12</f>
        <v>11408.462617899997</v>
      </c>
      <c r="K12" s="229"/>
      <c r="L12" s="229">
        <f>Maint_R1!M24</f>
        <v>3.2658859200000001</v>
      </c>
      <c r="M12" s="229">
        <f>Maint_R1!S24</f>
        <v>6</v>
      </c>
      <c r="N12" s="229">
        <f>Maint_R1!V24</f>
        <v>0</v>
      </c>
      <c r="O12" s="229">
        <f>Maint_R1!Z24</f>
        <v>9.2658859200000006</v>
      </c>
      <c r="P12" s="229"/>
      <c r="Q12" s="234">
        <f>Energy!I13</f>
        <v>185.73185556449997</v>
      </c>
      <c r="R12" s="235">
        <f>Energy!J13</f>
        <v>529.80829359599988</v>
      </c>
      <c r="S12" s="229">
        <f>Energy!K13</f>
        <v>715.54014916049982</v>
      </c>
      <c r="U12" s="229">
        <f>O11-O12</f>
        <v>213.50048470499999</v>
      </c>
      <c r="V12" s="229">
        <f>S11-S12</f>
        <v>673.51171926283337</v>
      </c>
      <c r="W12" s="229">
        <f>V12+U12</f>
        <v>887.01220396783333</v>
      </c>
      <c r="Y12" s="240">
        <f>J12/W12</f>
        <v>12.86167492044305</v>
      </c>
      <c r="AA12" s="245">
        <f>W12/J12</f>
        <v>7.7750371253011943E-2</v>
      </c>
      <c r="AC12" s="337"/>
      <c r="AD12" s="337"/>
    </row>
    <row r="13" spans="1:30">
      <c r="A13" s="528" t="str">
        <f>Energy!A14</f>
        <v>College Ave (Roadway) - Retrofit 2 (80% dim)</v>
      </c>
      <c r="B13" s="226">
        <f>Capital_R2!L28</f>
        <v>15293.702277899996</v>
      </c>
      <c r="C13" s="226">
        <f>Capital_R2!O28</f>
        <v>1150</v>
      </c>
      <c r="D13" s="226">
        <f>Capital_R2!Q28</f>
        <v>16443.702277899996</v>
      </c>
      <c r="E13" s="31"/>
      <c r="F13" s="226">
        <f>IF(Dashboard!$D$15=1,Rebates!G11,Rebates!K11)</f>
        <v>1589.9999999999998</v>
      </c>
      <c r="G13" s="226">
        <f>IF(Dashboard!$D$15=1,Rebates!H11,Rebates!L11)</f>
        <v>744</v>
      </c>
      <c r="H13" s="226">
        <f>IF(Dashboard!$D$15=1,Rebates!I11,Rebates!M11)</f>
        <v>2334</v>
      </c>
      <c r="I13" s="31"/>
      <c r="J13" s="226">
        <f>D13-H13</f>
        <v>14109.702277899996</v>
      </c>
      <c r="K13" s="226"/>
      <c r="L13" s="226">
        <f>Maint_R2!M28</f>
        <v>4.6862557499999999</v>
      </c>
      <c r="M13" s="226">
        <f>Maint_R2!S28</f>
        <v>6</v>
      </c>
      <c r="N13" s="226">
        <f>Maint_R2!V28</f>
        <v>0</v>
      </c>
      <c r="O13" s="226">
        <f>Maint_R2!Z28</f>
        <v>10.686255750000001</v>
      </c>
      <c r="P13" s="226"/>
      <c r="Q13" s="236">
        <f>Energy!I14</f>
        <v>147.42875718479996</v>
      </c>
      <c r="R13" s="237">
        <f>Energy!J14</f>
        <v>420.90026118826671</v>
      </c>
      <c r="S13" s="226">
        <f>Energy!K14</f>
        <v>568.32901837306667</v>
      </c>
      <c r="T13" s="31"/>
      <c r="U13" s="226">
        <f>O11-O13</f>
        <v>212.08011487499999</v>
      </c>
      <c r="V13" s="226">
        <f>S11-S13</f>
        <v>820.72285005026652</v>
      </c>
      <c r="W13" s="226">
        <f>V13+U13</f>
        <v>1032.8029649252665</v>
      </c>
      <c r="X13" s="31"/>
      <c r="Y13" s="241">
        <f>J13/W13</f>
        <v>13.661562521677087</v>
      </c>
      <c r="Z13" s="31"/>
      <c r="AA13" s="242">
        <f>W13/J13</f>
        <v>7.3198069284774639E-2</v>
      </c>
      <c r="AC13" s="337"/>
      <c r="AD13" s="337"/>
    </row>
    <row r="14" spans="1:30">
      <c r="A14" s="515" t="str">
        <f>Energy!A15</f>
        <v>College Ave (Area) - Base Case</v>
      </c>
      <c r="B14" s="238"/>
      <c r="C14" s="238"/>
      <c r="D14" s="238"/>
      <c r="F14" s="238"/>
      <c r="G14" s="238"/>
      <c r="H14" s="238"/>
      <c r="J14" s="238"/>
      <c r="K14" s="229"/>
      <c r="L14" s="229">
        <f>Maint_Base!M30</f>
        <v>711.46532754629629</v>
      </c>
      <c r="M14" s="229">
        <f>Maint_Base!S30</f>
        <v>79.528670479166664</v>
      </c>
      <c r="N14" s="229">
        <f>Maint_Base!V30</f>
        <v>0</v>
      </c>
      <c r="O14" s="229">
        <f>Maint_Base!Z30</f>
        <v>790.99399802546304</v>
      </c>
      <c r="P14" s="229"/>
      <c r="Q14" s="234">
        <f>Energy!I15</f>
        <v>705.98718854999993</v>
      </c>
      <c r="R14" s="235">
        <f>Energy!J15</f>
        <v>2011.7229887999999</v>
      </c>
      <c r="S14" s="229">
        <f>Energy!K15</f>
        <v>2717.7101773499999</v>
      </c>
      <c r="U14" s="239"/>
      <c r="V14" s="239"/>
      <c r="W14" s="239"/>
      <c r="X14" s="132"/>
      <c r="Y14" s="132"/>
      <c r="Z14" s="132"/>
      <c r="AA14" s="243"/>
      <c r="AC14" s="337"/>
      <c r="AD14" s="337"/>
    </row>
    <row r="15" spans="1:30">
      <c r="A15" s="515" t="str">
        <f>Energy!A16</f>
        <v>College Ave (Area) - Retrofit 1 (50% dim)</v>
      </c>
      <c r="B15" s="229">
        <f>Capital_R1!L33</f>
        <v>14610.470253299996</v>
      </c>
      <c r="C15" s="229">
        <f>Capital_R1!O33</f>
        <v>1757.5</v>
      </c>
      <c r="D15" s="229">
        <f>Capital_R1!Q33</f>
        <v>16367.970253299996</v>
      </c>
      <c r="F15" s="229">
        <f>IF(Dashboard!$D$15=1,Rebates!G12,Rebates!K12)</f>
        <v>4750</v>
      </c>
      <c r="G15" s="229">
        <f>IF(Dashboard!$D$15=1,Rebates!H12,Rebates!L12)</f>
        <v>800</v>
      </c>
      <c r="H15" s="229">
        <f>IF(Dashboard!$D$15=1,Rebates!I12,Rebates!M12)</f>
        <v>5550</v>
      </c>
      <c r="J15" s="229">
        <f t="shared" ref="J15" si="1">D15-H15</f>
        <v>10817.970253299996</v>
      </c>
      <c r="K15" s="229"/>
      <c r="L15" s="229">
        <f>Maint_R1!M33</f>
        <v>4.8849993074999993</v>
      </c>
      <c r="M15" s="229">
        <f>Maint_R1!S33</f>
        <v>8.6125000000000007</v>
      </c>
      <c r="N15" s="229">
        <f>Maint_R1!V33</f>
        <v>0</v>
      </c>
      <c r="O15" s="229">
        <f>Maint_R1!Z33</f>
        <v>13.4974993075</v>
      </c>
      <c r="P15" s="229"/>
      <c r="Q15" s="234">
        <f>Energy!I16</f>
        <v>177.52148679999999</v>
      </c>
      <c r="R15" s="235">
        <f>Energy!J16</f>
        <v>506.38785528888889</v>
      </c>
      <c r="S15" s="229">
        <f>Energy!K16</f>
        <v>683.90934208888893</v>
      </c>
      <c r="U15" s="229">
        <f>O14-O15</f>
        <v>777.49649871796305</v>
      </c>
      <c r="V15" s="229">
        <f>S14-S15</f>
        <v>2033.8008352611109</v>
      </c>
      <c r="W15" s="229">
        <f>V15+U15</f>
        <v>2811.2973339790742</v>
      </c>
      <c r="Y15" s="240">
        <f>J15/W15</f>
        <v>3.8480348992428985</v>
      </c>
      <c r="AA15" s="245">
        <f>W15/J15</f>
        <v>0.2598729029710074</v>
      </c>
      <c r="AC15" s="337"/>
      <c r="AD15" s="337"/>
    </row>
    <row r="16" spans="1:30">
      <c r="A16" s="524" t="str">
        <f>Energy!A17</f>
        <v>College Ave (Area) - Retrofit 2 (80% dim)</v>
      </c>
      <c r="B16" s="226">
        <f>Capital_R2!L37</f>
        <v>14610.470253299996</v>
      </c>
      <c r="C16" s="226">
        <f>Capital_R2!O37</f>
        <v>1757.5</v>
      </c>
      <c r="D16" s="226">
        <f>Capital_R2!Q37</f>
        <v>16367.970253299996</v>
      </c>
      <c r="E16" s="31"/>
      <c r="F16" s="226">
        <f>IF(Dashboard!$D$15=1,Rebates!G13,Rebates!K13)</f>
        <v>4443.7500000000009</v>
      </c>
      <c r="G16" s="226">
        <f>IF(Dashboard!$D$15=1,Rebates!H13,Rebates!L13)</f>
        <v>922.5</v>
      </c>
      <c r="H16" s="226">
        <f>IF(Dashboard!$D$15=1,Rebates!I13,Rebates!M13)</f>
        <v>5366.2500000000009</v>
      </c>
      <c r="I16" s="31"/>
      <c r="J16" s="226">
        <f>D16-H16</f>
        <v>11001.720253299995</v>
      </c>
      <c r="K16" s="226"/>
      <c r="L16" s="226">
        <f>Maint_R2!M37</f>
        <v>4.8849993074999993</v>
      </c>
      <c r="M16" s="226">
        <f>Maint_R2!S37</f>
        <v>8.6125000000000007</v>
      </c>
      <c r="N16" s="226">
        <f>Maint_R2!V37</f>
        <v>0</v>
      </c>
      <c r="O16" s="226">
        <f>Maint_R2!Z37</f>
        <v>13.4974993075</v>
      </c>
      <c r="P16" s="226"/>
      <c r="Q16" s="236">
        <f>Energy!I17</f>
        <v>182.79976949324995</v>
      </c>
      <c r="R16" s="237">
        <f>Energy!J17</f>
        <v>521.88238030400009</v>
      </c>
      <c r="S16" s="226">
        <f>Energy!K17</f>
        <v>704.68214979725008</v>
      </c>
      <c r="T16" s="31"/>
      <c r="U16" s="226">
        <f>O14-O16</f>
        <v>777.49649871796305</v>
      </c>
      <c r="V16" s="226">
        <f>S14-S16</f>
        <v>2013.0280275527498</v>
      </c>
      <c r="W16" s="226">
        <f>V16+U16</f>
        <v>2790.5245262707131</v>
      </c>
      <c r="X16" s="31"/>
      <c r="Y16" s="241">
        <f>J16/W16</f>
        <v>3.9425277039233952</v>
      </c>
      <c r="Z16" s="31"/>
      <c r="AA16" s="242">
        <f>W16/J16</f>
        <v>0.25364438124425931</v>
      </c>
      <c r="AC16" s="337"/>
      <c r="AD16" s="337"/>
    </row>
    <row r="17" spans="1:30">
      <c r="A17" s="517" t="str">
        <f>Energy!A18</f>
        <v>College Ave (Decorative) - Base Case</v>
      </c>
      <c r="B17" s="238"/>
      <c r="C17" s="238"/>
      <c r="D17" s="238"/>
      <c r="F17" s="238"/>
      <c r="G17" s="238"/>
      <c r="H17" s="238"/>
      <c r="J17" s="238"/>
      <c r="K17" s="229"/>
      <c r="L17" s="229">
        <f>Maint_Base!M38</f>
        <v>1317.2272350000001</v>
      </c>
      <c r="M17" s="229">
        <f>Maint_Base!S38</f>
        <v>193.70988749999998</v>
      </c>
      <c r="N17" s="229">
        <f>Maint_Base!V38</f>
        <v>0</v>
      </c>
      <c r="O17" s="229">
        <f>Maint_Base!Z38</f>
        <v>1510.9371225</v>
      </c>
      <c r="P17" s="229"/>
      <c r="Q17" s="234">
        <f>Energy!I18</f>
        <v>739.97916429499992</v>
      </c>
      <c r="R17" s="235">
        <f>Energy!J18</f>
        <v>2108.5837252977781</v>
      </c>
      <c r="S17" s="229">
        <f>Energy!K18</f>
        <v>2848.562889592778</v>
      </c>
      <c r="U17" s="239"/>
      <c r="V17" s="239"/>
      <c r="W17" s="239"/>
      <c r="X17" s="132"/>
      <c r="Y17" s="132"/>
      <c r="Z17" s="132"/>
      <c r="AA17" s="243"/>
      <c r="AC17" s="337"/>
      <c r="AD17" s="337"/>
    </row>
    <row r="18" spans="1:30">
      <c r="A18" s="517" t="str">
        <f>Energy!A19</f>
        <v>College Ave (Decorative) - Retrofit 1 (50% dim)</v>
      </c>
      <c r="B18" s="229">
        <f>Capital_R1!L42</f>
        <v>32750.388852299999</v>
      </c>
      <c r="C18" s="229">
        <f>Capital_R1!O42</f>
        <v>2760</v>
      </c>
      <c r="D18" s="229">
        <f>Capital_R1!Q42</f>
        <v>35510.388852299999</v>
      </c>
      <c r="F18" s="229">
        <f>IF(Dashboard!$D$15=1,Rebates!G14,Rebates!K14)</f>
        <v>3175</v>
      </c>
      <c r="G18" s="229">
        <f>IF(Dashboard!$D$15=1,Rebates!H14,Rebates!L14)</f>
        <v>1560</v>
      </c>
      <c r="H18" s="229">
        <f>IF(Dashboard!$D$15=1,Rebates!I14,Rebates!M14)</f>
        <v>4735</v>
      </c>
      <c r="J18" s="229">
        <f t="shared" ref="J18:J19" si="2">D18-H18</f>
        <v>30775.388852299999</v>
      </c>
      <c r="K18" s="229"/>
      <c r="L18" s="229">
        <f>Maint_R1!M42</f>
        <v>14.032769199999999</v>
      </c>
      <c r="M18" s="229">
        <f>Maint_R1!S42</f>
        <v>20</v>
      </c>
      <c r="N18" s="229">
        <f>Maint_R1!V42</f>
        <v>0</v>
      </c>
      <c r="O18" s="229">
        <f>Maint_R1!Z42</f>
        <v>34.032769199999997</v>
      </c>
      <c r="P18" s="229"/>
      <c r="Q18" s="234">
        <f>Energy!I19</f>
        <v>346.16689925999998</v>
      </c>
      <c r="R18" s="235">
        <f>Energy!J19</f>
        <v>987.45631781333327</v>
      </c>
      <c r="S18" s="229">
        <f>Energy!K19</f>
        <v>1333.6232170733333</v>
      </c>
      <c r="U18" s="229">
        <f>O17-O18</f>
        <v>1476.9043532999999</v>
      </c>
      <c r="V18" s="229">
        <f>S17-S18</f>
        <v>1514.9396725194447</v>
      </c>
      <c r="W18" s="229">
        <f>V18+U18</f>
        <v>2991.8440258194446</v>
      </c>
      <c r="Y18" s="240">
        <f>J18/W18</f>
        <v>10.286428231789536</v>
      </c>
      <c r="AA18" s="245">
        <f>W18/J18</f>
        <v>9.7215474357713896E-2</v>
      </c>
      <c r="AC18" s="337"/>
      <c r="AD18" s="337"/>
    </row>
    <row r="19" spans="1:30">
      <c r="A19" s="520" t="str">
        <f>Energy!A20</f>
        <v>College Ave (Decorative) - Retrofit 2 (80% dim)</v>
      </c>
      <c r="B19" s="226">
        <f>Capital_R2!L46</f>
        <v>46390.094952299987</v>
      </c>
      <c r="C19" s="226">
        <f>Capital_R2!O46</f>
        <v>2760</v>
      </c>
      <c r="D19" s="226">
        <f>Capital_R2!Q46</f>
        <v>49150.094952299987</v>
      </c>
      <c r="E19" s="31"/>
      <c r="F19" s="226">
        <f>IF(Dashboard!$D$15=1,Rebates!G15,Rebates!K15)</f>
        <v>3575</v>
      </c>
      <c r="G19" s="226">
        <f>IF(Dashboard!$D$15=1,Rebates!H15,Rebates!L15)</f>
        <v>1400</v>
      </c>
      <c r="H19" s="226">
        <f>IF(Dashboard!$D$15=1,Rebates!I15,Rebates!M15)</f>
        <v>4975</v>
      </c>
      <c r="I19" s="31"/>
      <c r="J19" s="226">
        <f t="shared" si="2"/>
        <v>44175.094952299987</v>
      </c>
      <c r="K19" s="226"/>
      <c r="L19" s="226">
        <f>Maint_R2!M46</f>
        <v>20.852622249999996</v>
      </c>
      <c r="M19" s="226">
        <f>Maint_R2!S46</f>
        <v>20</v>
      </c>
      <c r="N19" s="226">
        <f>Maint_R2!V46</f>
        <v>0</v>
      </c>
      <c r="O19" s="226">
        <f>Maint_R2!Z46</f>
        <v>40.852622249999996</v>
      </c>
      <c r="P19" s="226"/>
      <c r="Q19" s="236">
        <f>Energy!I20</f>
        <v>277.41970437999993</v>
      </c>
      <c r="R19" s="237">
        <f>Energy!J20</f>
        <v>792.01662051555559</v>
      </c>
      <c r="S19" s="226">
        <f>Energy!K20</f>
        <v>1069.4363248955556</v>
      </c>
      <c r="T19" s="31"/>
      <c r="U19" s="226">
        <f>O17-O19</f>
        <v>1470.08450025</v>
      </c>
      <c r="V19" s="226">
        <f>S17-S19</f>
        <v>1779.1265646972224</v>
      </c>
      <c r="W19" s="226">
        <f>V19+U19</f>
        <v>3249.2110649472224</v>
      </c>
      <c r="X19" s="31"/>
      <c r="Y19" s="241">
        <f>J19/W19</f>
        <v>13.595637239102389</v>
      </c>
      <c r="Z19" s="31"/>
      <c r="AA19" s="242">
        <f>W19/J19</f>
        <v>7.3553006925184919E-2</v>
      </c>
      <c r="AC19" s="337"/>
      <c r="AD19" s="337"/>
    </row>
    <row r="21" spans="1:30">
      <c r="H21" s="338"/>
    </row>
    <row r="22" spans="1:30">
      <c r="H22" s="338"/>
    </row>
    <row r="23" spans="1:30">
      <c r="H23" s="338"/>
    </row>
    <row r="24" spans="1:30">
      <c r="H24" s="338"/>
    </row>
    <row r="25" spans="1:30">
      <c r="H25" s="338"/>
    </row>
    <row r="26" spans="1:30">
      <c r="H26" s="338"/>
    </row>
    <row r="27" spans="1:30">
      <c r="H27" s="338"/>
    </row>
    <row r="28" spans="1:30">
      <c r="H28" s="338"/>
    </row>
    <row r="29" spans="1:30">
      <c r="H29" s="338"/>
    </row>
    <row r="30" spans="1:30">
      <c r="H30" s="338"/>
    </row>
    <row r="31" spans="1:30">
      <c r="H31" s="338"/>
    </row>
  </sheetData>
  <mergeCells count="6">
    <mergeCell ref="B6:D6"/>
    <mergeCell ref="L6:O6"/>
    <mergeCell ref="F6:H6"/>
    <mergeCell ref="U6:W6"/>
    <mergeCell ref="Q6:S6"/>
    <mergeCell ref="J6:J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EAB8-6BAC-4696-8F3C-F654FB68D0D1}">
  <sheetPr codeName="Sheet14"/>
  <dimension ref="A1:AN111"/>
  <sheetViews>
    <sheetView topLeftCell="A98" zoomScaleNormal="100" workbookViewId="0">
      <selection activeCell="AG80" sqref="AG80:AG110"/>
    </sheetView>
  </sheetViews>
  <sheetFormatPr defaultRowHeight="15"/>
  <cols>
    <col min="1" max="3" width="8.7109375" customWidth="1"/>
    <col min="4" max="8" width="9.7109375" customWidth="1"/>
    <col min="9" max="9" width="3.7109375" customWidth="1"/>
    <col min="10" max="10" width="8.7109375" style="99" customWidth="1"/>
    <col min="11" max="12" width="8.7109375" style="38" customWidth="1"/>
    <col min="13" max="17" width="9.7109375" style="38" customWidth="1"/>
    <col min="18" max="18" width="3.7109375" customWidth="1"/>
    <col min="19" max="19" width="7.7109375" customWidth="1"/>
    <col min="20" max="21" width="8.7109375" style="38" customWidth="1"/>
    <col min="22" max="26" width="9.7109375" style="38" customWidth="1"/>
    <col min="27" max="27" width="3.7109375" customWidth="1"/>
    <col min="28" max="28" width="8.7109375" style="99" customWidth="1"/>
    <col min="29" max="30" width="8.7109375" customWidth="1"/>
    <col min="31" max="35" width="9.7109375" customWidth="1"/>
    <col min="40" max="40" width="10.5703125" bestFit="1" customWidth="1"/>
  </cols>
  <sheetData>
    <row r="1" spans="1:40" ht="38.25" customHeight="1">
      <c r="A1" s="209" t="s">
        <v>259</v>
      </c>
      <c r="B1" s="209"/>
      <c r="C1" s="209"/>
      <c r="D1" s="209"/>
      <c r="E1" s="209"/>
      <c r="F1" s="209"/>
      <c r="G1" s="210"/>
      <c r="H1" s="209"/>
      <c r="I1" s="209"/>
      <c r="J1" s="209"/>
      <c r="K1" s="209"/>
      <c r="L1" s="211"/>
      <c r="M1" s="211"/>
      <c r="N1" s="209"/>
      <c r="O1" s="209"/>
      <c r="P1" s="208"/>
      <c r="Q1" s="208"/>
      <c r="R1" s="208"/>
      <c r="S1" s="208"/>
      <c r="T1" s="208"/>
      <c r="U1" s="208"/>
      <c r="V1" s="208"/>
      <c r="W1" s="208"/>
      <c r="X1" s="208"/>
      <c r="Y1" s="208"/>
      <c r="Z1" s="208"/>
      <c r="AA1" s="208"/>
      <c r="AB1"/>
    </row>
    <row r="2" spans="1:40" ht="15" customHeight="1">
      <c r="A2" s="1" t="s">
        <v>260</v>
      </c>
      <c r="B2" s="96"/>
      <c r="C2" s="96"/>
      <c r="D2" s="96"/>
      <c r="E2" s="96"/>
      <c r="F2" s="96"/>
      <c r="G2" s="96"/>
      <c r="H2" s="96"/>
      <c r="I2" s="96"/>
      <c r="J2" s="96"/>
      <c r="K2" s="96"/>
      <c r="L2" s="96"/>
      <c r="M2" s="96"/>
      <c r="N2" s="96"/>
      <c r="O2" s="96"/>
      <c r="P2" s="96"/>
      <c r="Q2" s="96"/>
      <c r="R2" s="96"/>
      <c r="S2" s="96"/>
      <c r="T2" s="96"/>
      <c r="U2" s="96"/>
      <c r="V2" s="97"/>
      <c r="W2" s="98" t="s">
        <v>261</v>
      </c>
      <c r="X2" s="98" t="s">
        <v>262</v>
      </c>
      <c r="Y2" s="98"/>
      <c r="Z2" s="97"/>
      <c r="AA2" s="96"/>
    </row>
    <row r="3" spans="1:40" ht="15" customHeight="1">
      <c r="A3" t="s">
        <v>263</v>
      </c>
      <c r="B3" s="96"/>
      <c r="C3" s="96"/>
      <c r="D3" s="96"/>
      <c r="E3" s="96"/>
      <c r="F3" s="96"/>
      <c r="G3" s="96"/>
      <c r="H3" s="96"/>
      <c r="I3" s="96"/>
      <c r="J3" s="96"/>
      <c r="K3" s="96"/>
      <c r="L3" s="96"/>
      <c r="M3" s="96"/>
      <c r="N3" s="96"/>
      <c r="O3" s="96"/>
      <c r="P3" s="96"/>
      <c r="Q3" s="96"/>
      <c r="R3" s="96"/>
      <c r="S3" s="96"/>
      <c r="T3" s="96"/>
      <c r="U3" s="96"/>
      <c r="V3" s="97"/>
      <c r="W3" s="100">
        <v>1</v>
      </c>
      <c r="X3" s="101">
        <v>0.125</v>
      </c>
      <c r="Y3" s="101"/>
      <c r="Z3" s="97"/>
      <c r="AA3" s="96"/>
    </row>
    <row r="4" spans="1:40" ht="15" customHeight="1">
      <c r="A4" t="s">
        <v>264</v>
      </c>
      <c r="J4"/>
      <c r="K4"/>
      <c r="L4"/>
      <c r="M4"/>
      <c r="N4"/>
      <c r="O4"/>
      <c r="P4"/>
      <c r="Q4"/>
      <c r="T4"/>
      <c r="U4"/>
      <c r="V4" s="97"/>
      <c r="W4" s="97"/>
      <c r="X4" s="97"/>
      <c r="Y4" s="97"/>
      <c r="Z4" s="97"/>
      <c r="AA4" s="96"/>
    </row>
    <row r="5" spans="1:40">
      <c r="A5" s="96"/>
      <c r="B5" s="96"/>
      <c r="C5" s="96"/>
      <c r="D5" s="96"/>
      <c r="E5" s="96"/>
      <c r="F5" s="96"/>
      <c r="G5" s="96"/>
      <c r="H5" s="96"/>
      <c r="I5" s="96"/>
      <c r="J5" s="102"/>
      <c r="K5" s="97"/>
      <c r="L5" s="97"/>
      <c r="M5" s="97"/>
      <c r="N5" s="97"/>
      <c r="O5" s="97"/>
      <c r="P5" s="97"/>
      <c r="Q5" s="97"/>
      <c r="R5" s="96"/>
      <c r="S5" s="96"/>
      <c r="T5" s="97"/>
      <c r="U5" s="97"/>
      <c r="V5" s="97"/>
      <c r="W5" s="97"/>
      <c r="X5" s="97"/>
      <c r="Y5" s="97"/>
      <c r="Z5" s="97"/>
      <c r="AA5" s="96"/>
    </row>
    <row r="6" spans="1:40" ht="30">
      <c r="A6" s="575">
        <v>44927</v>
      </c>
      <c r="B6" s="575"/>
      <c r="C6" s="575"/>
      <c r="D6" s="103" t="s">
        <v>265</v>
      </c>
      <c r="E6" s="104" t="s">
        <v>266</v>
      </c>
      <c r="F6" s="104" t="s">
        <v>267</v>
      </c>
      <c r="G6" s="104" t="s">
        <v>268</v>
      </c>
      <c r="H6" s="104" t="s">
        <v>269</v>
      </c>
      <c r="I6" s="105"/>
      <c r="J6" s="575">
        <v>44958</v>
      </c>
      <c r="K6" s="575"/>
      <c r="L6" s="575"/>
      <c r="M6" s="103" t="s">
        <v>265</v>
      </c>
      <c r="N6" s="104" t="s">
        <v>266</v>
      </c>
      <c r="O6" s="104" t="s">
        <v>267</v>
      </c>
      <c r="P6" s="104" t="s">
        <v>268</v>
      </c>
      <c r="Q6" s="104" t="s">
        <v>269</v>
      </c>
      <c r="R6" s="105"/>
      <c r="S6" s="575">
        <v>44986</v>
      </c>
      <c r="T6" s="575"/>
      <c r="U6" s="575"/>
      <c r="V6" s="103" t="s">
        <v>265</v>
      </c>
      <c r="W6" s="104" t="s">
        <v>266</v>
      </c>
      <c r="X6" s="104" t="s">
        <v>267</v>
      </c>
      <c r="Y6" s="104" t="s">
        <v>268</v>
      </c>
      <c r="Z6" s="104" t="s">
        <v>269</v>
      </c>
      <c r="AA6" s="105"/>
      <c r="AB6" s="575">
        <v>45017</v>
      </c>
      <c r="AC6" s="575"/>
      <c r="AD6" s="575"/>
      <c r="AE6" s="103" t="s">
        <v>265</v>
      </c>
      <c r="AF6" s="104" t="s">
        <v>266</v>
      </c>
      <c r="AG6" s="104" t="s">
        <v>267</v>
      </c>
      <c r="AH6" s="104" t="s">
        <v>268</v>
      </c>
      <c r="AI6" s="104" t="s">
        <v>269</v>
      </c>
    </row>
    <row r="7" spans="1:40">
      <c r="A7" s="107" t="s">
        <v>270</v>
      </c>
      <c r="B7" s="107" t="s">
        <v>271</v>
      </c>
      <c r="C7" s="107" t="s">
        <v>272</v>
      </c>
      <c r="D7" s="107"/>
      <c r="E7" s="107"/>
      <c r="F7" s="107"/>
      <c r="G7" s="107"/>
      <c r="H7" s="107"/>
      <c r="I7" s="96"/>
      <c r="J7" s="108" t="s">
        <v>270</v>
      </c>
      <c r="K7" s="543" t="s">
        <v>271</v>
      </c>
      <c r="L7" s="543" t="s">
        <v>272</v>
      </c>
      <c r="M7" s="543"/>
      <c r="N7" s="543"/>
      <c r="O7" s="543"/>
      <c r="P7" s="543"/>
      <c r="Q7" s="543"/>
      <c r="R7" s="96"/>
      <c r="S7" s="107" t="s">
        <v>270</v>
      </c>
      <c r="T7" s="543" t="s">
        <v>271</v>
      </c>
      <c r="U7" s="543" t="s">
        <v>272</v>
      </c>
      <c r="V7" s="109"/>
      <c r="W7" s="109"/>
      <c r="X7" s="109"/>
      <c r="Y7" s="109"/>
      <c r="Z7" s="109"/>
      <c r="AA7" s="96"/>
      <c r="AB7" s="108" t="s">
        <v>270</v>
      </c>
      <c r="AC7" s="543" t="s">
        <v>271</v>
      </c>
      <c r="AD7" s="543" t="s">
        <v>272</v>
      </c>
      <c r="AE7" s="109"/>
      <c r="AF7" s="94"/>
      <c r="AG7" s="94"/>
      <c r="AH7" s="94"/>
      <c r="AI7" s="94"/>
    </row>
    <row r="8" spans="1:40">
      <c r="A8" s="110" t="s">
        <v>273</v>
      </c>
      <c r="B8" s="111">
        <v>0.30832175925925925</v>
      </c>
      <c r="C8" s="111">
        <v>0.69724537037037038</v>
      </c>
      <c r="D8" s="111">
        <f>E8+F8</f>
        <v>0.61107638888888882</v>
      </c>
      <c r="E8" s="112">
        <f>$W$3-C8</f>
        <v>0.30275462962962962</v>
      </c>
      <c r="F8" s="113">
        <f>B8</f>
        <v>0.30832175925925925</v>
      </c>
      <c r="G8" s="114">
        <f>E8+$X$3</f>
        <v>0.42775462962962962</v>
      </c>
      <c r="H8" s="111">
        <f>B8-$X$3</f>
        <v>0.18332175925925925</v>
      </c>
      <c r="I8" s="111"/>
      <c r="J8" s="102" t="s">
        <v>274</v>
      </c>
      <c r="K8" s="101">
        <v>0.2986921296296296</v>
      </c>
      <c r="L8" s="101">
        <v>0.7209606481481482</v>
      </c>
      <c r="M8" s="101">
        <f>N8+O8</f>
        <v>0.57773148148148135</v>
      </c>
      <c r="N8" s="101">
        <f t="shared" ref="N8:N35" si="0">$W$3-L8</f>
        <v>0.2790393518518518</v>
      </c>
      <c r="O8" s="115">
        <f>K8</f>
        <v>0.2986921296296296</v>
      </c>
      <c r="P8" s="115">
        <f t="shared" ref="P8:P35" si="1">N8+$X$3</f>
        <v>0.4040393518518518</v>
      </c>
      <c r="Q8" s="101">
        <f t="shared" ref="Q8:Q35" si="2">K8-$X$3</f>
        <v>0.1736921296296296</v>
      </c>
      <c r="R8" s="111"/>
      <c r="S8" s="96" t="s">
        <v>274</v>
      </c>
      <c r="T8" s="101">
        <v>0.27383101851851849</v>
      </c>
      <c r="U8" s="101">
        <v>0.74417824074074079</v>
      </c>
      <c r="V8" s="101">
        <f>W8+X8</f>
        <v>0.52965277777777775</v>
      </c>
      <c r="W8" s="101">
        <f>$W$3-U8</f>
        <v>0.25582175925925921</v>
      </c>
      <c r="X8" s="115">
        <f>T8</f>
        <v>0.27383101851851849</v>
      </c>
      <c r="Y8" s="115">
        <f>W8+$X$3</f>
        <v>0.38082175925925921</v>
      </c>
      <c r="Z8" s="101">
        <f>T8-$X$3</f>
        <v>0.14883101851851849</v>
      </c>
      <c r="AA8" s="111"/>
      <c r="AB8" s="102" t="s">
        <v>275</v>
      </c>
      <c r="AC8" s="101">
        <v>0.28067129629629628</v>
      </c>
      <c r="AD8" s="101">
        <v>0.80899305555555545</v>
      </c>
      <c r="AE8" s="101">
        <f>AF8+AG8</f>
        <v>0.47167824074074083</v>
      </c>
      <c r="AF8" s="101">
        <f>$W$3-AD8</f>
        <v>0.19100694444444455</v>
      </c>
      <c r="AG8" s="115">
        <f>AC8</f>
        <v>0.28067129629629628</v>
      </c>
      <c r="AH8" s="115">
        <f>AF8+$X$3</f>
        <v>0.31600694444444455</v>
      </c>
      <c r="AI8" s="101">
        <f>AC8-$X$3</f>
        <v>0.15567129629629628</v>
      </c>
    </row>
    <row r="9" spans="1:40">
      <c r="A9" s="96" t="s">
        <v>276</v>
      </c>
      <c r="B9" s="111">
        <v>0.30839120370370371</v>
      </c>
      <c r="C9" s="111">
        <v>0.69783564814814814</v>
      </c>
      <c r="D9" s="111">
        <f t="shared" ref="D9:D38" si="3">E9+F9</f>
        <v>0.61055555555555552</v>
      </c>
      <c r="E9" s="112">
        <f t="shared" ref="E9:E38" si="4">$W$3-C9</f>
        <v>0.30216435185185186</v>
      </c>
      <c r="F9" s="113">
        <f t="shared" ref="F9:F38" si="5">B9</f>
        <v>0.30839120370370371</v>
      </c>
      <c r="G9" s="114">
        <f t="shared" ref="G9:G38" si="6">E9+$X$3</f>
        <v>0.42716435185185186</v>
      </c>
      <c r="H9" s="111">
        <f t="shared" ref="H9:H38" si="7">B9-$X$3</f>
        <v>0.18339120370370371</v>
      </c>
      <c r="I9" s="111"/>
      <c r="J9" s="102" t="s">
        <v>277</v>
      </c>
      <c r="K9" s="101">
        <v>0.29802083333333335</v>
      </c>
      <c r="L9" s="101">
        <v>0.72181712962962974</v>
      </c>
      <c r="M9" s="101">
        <f t="shared" ref="M9:M35" si="8">N9+O9</f>
        <v>0.57620370370370355</v>
      </c>
      <c r="N9" s="101">
        <f t="shared" si="0"/>
        <v>0.27818287037037026</v>
      </c>
      <c r="O9" s="115">
        <f t="shared" ref="O9:O35" si="9">K9</f>
        <v>0.29802083333333335</v>
      </c>
      <c r="P9" s="115">
        <f t="shared" si="1"/>
        <v>0.40318287037037026</v>
      </c>
      <c r="Q9" s="101">
        <f t="shared" si="2"/>
        <v>0.17302083333333335</v>
      </c>
      <c r="R9" s="111"/>
      <c r="S9" s="96" t="s">
        <v>277</v>
      </c>
      <c r="T9" s="101">
        <v>0.27277777777777779</v>
      </c>
      <c r="U9" s="101">
        <v>0.74496527777777777</v>
      </c>
      <c r="V9" s="101">
        <f t="shared" ref="V9:V38" si="10">W9+X9</f>
        <v>0.52781250000000002</v>
      </c>
      <c r="W9" s="101">
        <f t="shared" ref="W9:W38" si="11">$W$3-U9</f>
        <v>0.25503472222222223</v>
      </c>
      <c r="X9" s="115">
        <f t="shared" ref="X9:X38" si="12">T9</f>
        <v>0.27277777777777779</v>
      </c>
      <c r="Y9" s="115">
        <f t="shared" ref="Y9:Y38" si="13">W9+$X$3</f>
        <v>0.38003472222222223</v>
      </c>
      <c r="Z9" s="101">
        <f t="shared" ref="Z9:Z38" si="14">T9-$X$3</f>
        <v>0.14777777777777779</v>
      </c>
      <c r="AA9" s="111"/>
      <c r="AB9" s="117" t="s">
        <v>278</v>
      </c>
      <c r="AC9" s="101">
        <v>0.27954861111111112</v>
      </c>
      <c r="AD9" s="101">
        <v>0.80971064814814808</v>
      </c>
      <c r="AE9" s="101">
        <f t="shared" ref="AE9:AE37" si="15">AF9+AG9</f>
        <v>0.46983796296296304</v>
      </c>
      <c r="AF9" s="101">
        <f t="shared" ref="AF9:AF37" si="16">$W$3-AD9</f>
        <v>0.19028935185185192</v>
      </c>
      <c r="AG9" s="115">
        <f t="shared" ref="AG9:AG37" si="17">AC9</f>
        <v>0.27954861111111112</v>
      </c>
      <c r="AH9" s="115">
        <f t="shared" ref="AH9:AH37" si="18">AF9+$X$3</f>
        <v>0.31528935185185192</v>
      </c>
      <c r="AI9" s="101">
        <f t="shared" ref="AI9:AI37" si="19">AC9-$X$3</f>
        <v>0.15454861111111112</v>
      </c>
    </row>
    <row r="10" spans="1:40">
      <c r="A10" s="96" t="s">
        <v>279</v>
      </c>
      <c r="B10" s="111">
        <v>0.30843749999999998</v>
      </c>
      <c r="C10" s="111">
        <v>0.69844907407407408</v>
      </c>
      <c r="D10" s="111">
        <f t="shared" si="3"/>
        <v>0.60998842592592584</v>
      </c>
      <c r="E10" s="112">
        <f t="shared" si="4"/>
        <v>0.30155092592592592</v>
      </c>
      <c r="F10" s="113">
        <f t="shared" si="5"/>
        <v>0.30843749999999998</v>
      </c>
      <c r="G10" s="114">
        <f t="shared" si="6"/>
        <v>0.42655092592592592</v>
      </c>
      <c r="H10" s="111">
        <f t="shared" si="7"/>
        <v>0.18343749999999998</v>
      </c>
      <c r="I10" s="111"/>
      <c r="J10" s="102" t="s">
        <v>280</v>
      </c>
      <c r="K10" s="101">
        <v>0.2973263888888889</v>
      </c>
      <c r="L10" s="101">
        <v>0.72266203703703702</v>
      </c>
      <c r="M10" s="101">
        <f t="shared" si="8"/>
        <v>0.57466435185185194</v>
      </c>
      <c r="N10" s="101">
        <f t="shared" si="0"/>
        <v>0.27733796296296298</v>
      </c>
      <c r="O10" s="115">
        <f t="shared" si="9"/>
        <v>0.2973263888888889</v>
      </c>
      <c r="P10" s="115">
        <f t="shared" si="1"/>
        <v>0.40233796296296298</v>
      </c>
      <c r="Q10" s="101">
        <f t="shared" si="2"/>
        <v>0.1723263888888889</v>
      </c>
      <c r="R10" s="111"/>
      <c r="S10" s="96" t="s">
        <v>280</v>
      </c>
      <c r="T10" s="101">
        <v>0.27171296296296293</v>
      </c>
      <c r="U10" s="101">
        <v>0.7457407407407407</v>
      </c>
      <c r="V10" s="101">
        <f t="shared" si="10"/>
        <v>0.52597222222222229</v>
      </c>
      <c r="W10" s="101">
        <f t="shared" si="11"/>
        <v>0.2542592592592593</v>
      </c>
      <c r="X10" s="115">
        <f t="shared" si="12"/>
        <v>0.27171296296296293</v>
      </c>
      <c r="Y10" s="115">
        <f t="shared" si="13"/>
        <v>0.3792592592592593</v>
      </c>
      <c r="Z10" s="101">
        <f t="shared" si="14"/>
        <v>0.14671296296296293</v>
      </c>
      <c r="AA10" s="111"/>
      <c r="AB10" s="102" t="s">
        <v>281</v>
      </c>
      <c r="AC10" s="101">
        <v>0.27841435185185187</v>
      </c>
      <c r="AD10" s="101">
        <v>0.81042824074074071</v>
      </c>
      <c r="AE10" s="101">
        <f t="shared" si="15"/>
        <v>0.46798611111111116</v>
      </c>
      <c r="AF10" s="101">
        <f t="shared" si="16"/>
        <v>0.18957175925925929</v>
      </c>
      <c r="AG10" s="115">
        <f t="shared" si="17"/>
        <v>0.27841435185185187</v>
      </c>
      <c r="AH10" s="115">
        <f t="shared" si="18"/>
        <v>0.31457175925925929</v>
      </c>
      <c r="AI10" s="101">
        <f t="shared" si="19"/>
        <v>0.15341435185185187</v>
      </c>
      <c r="AN10" s="116"/>
    </row>
    <row r="11" spans="1:40">
      <c r="A11" s="96" t="s">
        <v>282</v>
      </c>
      <c r="B11" s="111">
        <v>0.30844907407407407</v>
      </c>
      <c r="C11" s="111">
        <v>0.69907407407407407</v>
      </c>
      <c r="D11" s="111">
        <f t="shared" si="3"/>
        <v>0.609375</v>
      </c>
      <c r="E11" s="112">
        <f t="shared" si="4"/>
        <v>0.30092592592592593</v>
      </c>
      <c r="F11" s="113">
        <f t="shared" si="5"/>
        <v>0.30844907407407407</v>
      </c>
      <c r="G11" s="114">
        <f t="shared" si="6"/>
        <v>0.42592592592592593</v>
      </c>
      <c r="H11" s="111">
        <f t="shared" si="7"/>
        <v>0.18344907407407407</v>
      </c>
      <c r="I11" s="111"/>
      <c r="J11" s="102" t="s">
        <v>283</v>
      </c>
      <c r="K11" s="101">
        <v>0.29660879629629627</v>
      </c>
      <c r="L11" s="101">
        <v>0.72351851851851856</v>
      </c>
      <c r="M11" s="101">
        <f t="shared" si="8"/>
        <v>0.57309027777777777</v>
      </c>
      <c r="N11" s="101">
        <f t="shared" si="0"/>
        <v>0.27648148148148144</v>
      </c>
      <c r="O11" s="115">
        <f t="shared" si="9"/>
        <v>0.29660879629629627</v>
      </c>
      <c r="P11" s="115">
        <f t="shared" si="1"/>
        <v>0.40148148148148144</v>
      </c>
      <c r="Q11" s="101">
        <f t="shared" si="2"/>
        <v>0.17160879629629627</v>
      </c>
      <c r="R11" s="111"/>
      <c r="S11" s="96" t="s">
        <v>283</v>
      </c>
      <c r="T11" s="101">
        <v>0.2706365740740741</v>
      </c>
      <c r="U11" s="101">
        <v>0.74652777777777779</v>
      </c>
      <c r="V11" s="101">
        <f t="shared" si="10"/>
        <v>0.52410879629629625</v>
      </c>
      <c r="W11" s="101">
        <f t="shared" si="11"/>
        <v>0.25347222222222221</v>
      </c>
      <c r="X11" s="115">
        <f t="shared" si="12"/>
        <v>0.2706365740740741</v>
      </c>
      <c r="Y11" s="115">
        <f t="shared" si="13"/>
        <v>0.37847222222222221</v>
      </c>
      <c r="Z11" s="101">
        <f t="shared" si="14"/>
        <v>0.1456365740740741</v>
      </c>
      <c r="AA11" s="111"/>
      <c r="AB11" s="102" t="s">
        <v>284</v>
      </c>
      <c r="AC11" s="101">
        <v>0.27729166666666666</v>
      </c>
      <c r="AD11" s="101">
        <v>0.81115740740740738</v>
      </c>
      <c r="AE11" s="101">
        <f t="shared" si="15"/>
        <v>0.46613425925925928</v>
      </c>
      <c r="AF11" s="101">
        <f t="shared" si="16"/>
        <v>0.18884259259259262</v>
      </c>
      <c r="AG11" s="115">
        <f t="shared" si="17"/>
        <v>0.27729166666666666</v>
      </c>
      <c r="AH11" s="115">
        <f t="shared" si="18"/>
        <v>0.31384259259259262</v>
      </c>
      <c r="AI11" s="101">
        <f t="shared" si="19"/>
        <v>0.15229166666666666</v>
      </c>
    </row>
    <row r="12" spans="1:40">
      <c r="A12" s="96" t="s">
        <v>285</v>
      </c>
      <c r="B12" s="111">
        <v>0.30843749999999998</v>
      </c>
      <c r="C12" s="111">
        <v>0.6997106481481481</v>
      </c>
      <c r="D12" s="111">
        <f t="shared" si="3"/>
        <v>0.60872685185185182</v>
      </c>
      <c r="E12" s="112">
        <f t="shared" si="4"/>
        <v>0.3002893518518519</v>
      </c>
      <c r="F12" s="113">
        <f t="shared" si="5"/>
        <v>0.30843749999999998</v>
      </c>
      <c r="G12" s="114">
        <f t="shared" si="6"/>
        <v>0.4252893518518519</v>
      </c>
      <c r="H12" s="111">
        <f t="shared" si="7"/>
        <v>0.18343749999999998</v>
      </c>
      <c r="I12" s="111"/>
      <c r="J12" s="117" t="s">
        <v>286</v>
      </c>
      <c r="K12" s="101">
        <v>0.2958796296296296</v>
      </c>
      <c r="L12" s="101">
        <v>0.7243750000000001</v>
      </c>
      <c r="M12" s="101">
        <f t="shared" si="8"/>
        <v>0.57150462962962956</v>
      </c>
      <c r="N12" s="101">
        <f t="shared" si="0"/>
        <v>0.2756249999999999</v>
      </c>
      <c r="O12" s="115">
        <f t="shared" si="9"/>
        <v>0.2958796296296296</v>
      </c>
      <c r="P12" s="115">
        <f t="shared" si="1"/>
        <v>0.4006249999999999</v>
      </c>
      <c r="Q12" s="101">
        <f t="shared" si="2"/>
        <v>0.1708796296296296</v>
      </c>
      <c r="R12" s="111"/>
      <c r="S12" s="110" t="s">
        <v>286</v>
      </c>
      <c r="T12" s="101">
        <v>0.26954861111111111</v>
      </c>
      <c r="U12" s="101">
        <v>0.74730324074074073</v>
      </c>
      <c r="V12" s="101">
        <f t="shared" si="10"/>
        <v>0.52224537037037044</v>
      </c>
      <c r="W12" s="101">
        <f t="shared" si="11"/>
        <v>0.25269675925925927</v>
      </c>
      <c r="X12" s="115">
        <f t="shared" si="12"/>
        <v>0.26954861111111111</v>
      </c>
      <c r="Y12" s="115">
        <f t="shared" si="13"/>
        <v>0.37769675925925927</v>
      </c>
      <c r="Z12" s="101">
        <f t="shared" si="14"/>
        <v>0.14454861111111111</v>
      </c>
      <c r="AA12" s="111"/>
      <c r="AB12" s="102" t="s">
        <v>287</v>
      </c>
      <c r="AC12" s="101">
        <v>0.27616898148148145</v>
      </c>
      <c r="AD12" s="101">
        <v>0.81187500000000001</v>
      </c>
      <c r="AE12" s="101">
        <f t="shared" si="15"/>
        <v>0.46429398148148143</v>
      </c>
      <c r="AF12" s="101">
        <f t="shared" si="16"/>
        <v>0.18812499999999999</v>
      </c>
      <c r="AG12" s="115">
        <f t="shared" si="17"/>
        <v>0.27616898148148145</v>
      </c>
      <c r="AH12" s="115">
        <f t="shared" si="18"/>
        <v>0.31312499999999999</v>
      </c>
      <c r="AI12" s="101">
        <f t="shared" si="19"/>
        <v>0.15116898148148145</v>
      </c>
    </row>
    <row r="13" spans="1:40">
      <c r="A13" s="96" t="s">
        <v>288</v>
      </c>
      <c r="B13" s="111">
        <v>0.30840277777777775</v>
      </c>
      <c r="C13" s="111">
        <v>0.70037037037037031</v>
      </c>
      <c r="D13" s="111">
        <f t="shared" si="3"/>
        <v>0.60803240740740749</v>
      </c>
      <c r="E13" s="112">
        <f t="shared" si="4"/>
        <v>0.29962962962962969</v>
      </c>
      <c r="F13" s="113">
        <f t="shared" si="5"/>
        <v>0.30840277777777775</v>
      </c>
      <c r="G13" s="114">
        <f t="shared" si="6"/>
        <v>0.42462962962962969</v>
      </c>
      <c r="H13" s="111">
        <f t="shared" si="7"/>
        <v>0.18340277777777775</v>
      </c>
      <c r="I13" s="111"/>
      <c r="J13" s="102" t="s">
        <v>289</v>
      </c>
      <c r="K13" s="101">
        <v>0.2951273148148148</v>
      </c>
      <c r="L13" s="101">
        <v>0.72523148148148142</v>
      </c>
      <c r="M13" s="101">
        <f t="shared" si="8"/>
        <v>0.56989583333333338</v>
      </c>
      <c r="N13" s="101">
        <f t="shared" si="0"/>
        <v>0.27476851851851858</v>
      </c>
      <c r="O13" s="115">
        <f t="shared" si="9"/>
        <v>0.2951273148148148</v>
      </c>
      <c r="P13" s="115">
        <f t="shared" si="1"/>
        <v>0.39976851851851858</v>
      </c>
      <c r="Q13" s="101">
        <f t="shared" si="2"/>
        <v>0.1701273148148148</v>
      </c>
      <c r="R13" s="111"/>
      <c r="S13" s="96" t="s">
        <v>289</v>
      </c>
      <c r="T13" s="101">
        <v>0.26846064814814813</v>
      </c>
      <c r="U13" s="101">
        <v>0.74806712962962962</v>
      </c>
      <c r="V13" s="101">
        <f t="shared" si="10"/>
        <v>0.52039351851851845</v>
      </c>
      <c r="W13" s="101">
        <f t="shared" si="11"/>
        <v>0.25193287037037038</v>
      </c>
      <c r="X13" s="115">
        <f t="shared" si="12"/>
        <v>0.26846064814814813</v>
      </c>
      <c r="Y13" s="115">
        <f t="shared" si="13"/>
        <v>0.37693287037037038</v>
      </c>
      <c r="Z13" s="101">
        <f t="shared" si="14"/>
        <v>0.14346064814814813</v>
      </c>
      <c r="AA13" s="111"/>
      <c r="AB13" s="102" t="s">
        <v>290</v>
      </c>
      <c r="AC13" s="101">
        <v>0.27504629629629629</v>
      </c>
      <c r="AD13" s="101">
        <v>0.81260416666666668</v>
      </c>
      <c r="AE13" s="101">
        <f t="shared" si="15"/>
        <v>0.46244212962962961</v>
      </c>
      <c r="AF13" s="101">
        <f t="shared" si="16"/>
        <v>0.18739583333333332</v>
      </c>
      <c r="AG13" s="115">
        <f t="shared" si="17"/>
        <v>0.27504629629629629</v>
      </c>
      <c r="AH13" s="115">
        <f t="shared" si="18"/>
        <v>0.31239583333333332</v>
      </c>
      <c r="AI13" s="101">
        <f t="shared" si="19"/>
        <v>0.15004629629629629</v>
      </c>
    </row>
    <row r="14" spans="1:40">
      <c r="A14" s="96" t="s">
        <v>291</v>
      </c>
      <c r="B14" s="111">
        <v>0.30834490740740744</v>
      </c>
      <c r="C14" s="111">
        <v>0.70104166666666667</v>
      </c>
      <c r="D14" s="111">
        <f t="shared" si="3"/>
        <v>0.60730324074074082</v>
      </c>
      <c r="E14" s="112">
        <f t="shared" si="4"/>
        <v>0.29895833333333333</v>
      </c>
      <c r="F14" s="113">
        <f t="shared" si="5"/>
        <v>0.30834490740740744</v>
      </c>
      <c r="G14" s="114">
        <f t="shared" si="6"/>
        <v>0.42395833333333333</v>
      </c>
      <c r="H14" s="111">
        <f t="shared" si="7"/>
        <v>0.18334490740740744</v>
      </c>
      <c r="I14" s="111"/>
      <c r="J14" s="102" t="s">
        <v>292</v>
      </c>
      <c r="K14" s="101">
        <v>0.29435185185185186</v>
      </c>
      <c r="L14" s="101">
        <v>0.72607638888888892</v>
      </c>
      <c r="M14" s="101">
        <f t="shared" si="8"/>
        <v>0.56827546296296294</v>
      </c>
      <c r="N14" s="101">
        <f t="shared" si="0"/>
        <v>0.27392361111111108</v>
      </c>
      <c r="O14" s="115">
        <f t="shared" si="9"/>
        <v>0.29435185185185186</v>
      </c>
      <c r="P14" s="115">
        <f t="shared" si="1"/>
        <v>0.39892361111111108</v>
      </c>
      <c r="Q14" s="101">
        <f t="shared" si="2"/>
        <v>0.16935185185185186</v>
      </c>
      <c r="R14" s="111"/>
      <c r="S14" s="96" t="s">
        <v>292</v>
      </c>
      <c r="T14" s="101">
        <v>0.2673726851851852</v>
      </c>
      <c r="U14" s="101">
        <v>0.74884259259259256</v>
      </c>
      <c r="V14" s="101">
        <f t="shared" si="10"/>
        <v>0.51853009259259264</v>
      </c>
      <c r="W14" s="101">
        <f t="shared" si="11"/>
        <v>0.25115740740740744</v>
      </c>
      <c r="X14" s="115">
        <f t="shared" si="12"/>
        <v>0.2673726851851852</v>
      </c>
      <c r="Y14" s="115">
        <f t="shared" si="13"/>
        <v>0.37615740740740744</v>
      </c>
      <c r="Z14" s="101">
        <f t="shared" si="14"/>
        <v>0.1423726851851852</v>
      </c>
      <c r="AA14" s="111"/>
      <c r="AB14" s="102" t="s">
        <v>293</v>
      </c>
      <c r="AC14" s="101">
        <v>0.27393518518518517</v>
      </c>
      <c r="AD14" s="101">
        <v>0.8133217592592592</v>
      </c>
      <c r="AE14" s="101">
        <f t="shared" si="15"/>
        <v>0.46061342592592597</v>
      </c>
      <c r="AF14" s="101">
        <f t="shared" si="16"/>
        <v>0.1866782407407408</v>
      </c>
      <c r="AG14" s="115">
        <f t="shared" si="17"/>
        <v>0.27393518518518517</v>
      </c>
      <c r="AH14" s="115">
        <f t="shared" si="18"/>
        <v>0.3116782407407408</v>
      </c>
      <c r="AI14" s="101">
        <f t="shared" si="19"/>
        <v>0.14893518518518517</v>
      </c>
    </row>
    <row r="15" spans="1:40">
      <c r="A15" s="110" t="s">
        <v>294</v>
      </c>
      <c r="B15" s="111">
        <v>0.3082523148148148</v>
      </c>
      <c r="C15" s="111">
        <v>0.70173611111111101</v>
      </c>
      <c r="D15" s="111">
        <f t="shared" si="3"/>
        <v>0.60651620370370374</v>
      </c>
      <c r="E15" s="112">
        <f t="shared" si="4"/>
        <v>0.29826388888888899</v>
      </c>
      <c r="F15" s="113">
        <f t="shared" si="5"/>
        <v>0.3082523148148148</v>
      </c>
      <c r="G15" s="114">
        <f t="shared" si="6"/>
        <v>0.42326388888888899</v>
      </c>
      <c r="H15" s="111">
        <f t="shared" si="7"/>
        <v>0.1832523148148148</v>
      </c>
      <c r="I15" s="111"/>
      <c r="J15" s="102" t="s">
        <v>295</v>
      </c>
      <c r="K15" s="101">
        <v>0.29356481481481483</v>
      </c>
      <c r="L15" s="101">
        <v>0.72693287037037047</v>
      </c>
      <c r="M15" s="101">
        <f t="shared" si="8"/>
        <v>0.56663194444444431</v>
      </c>
      <c r="N15" s="101">
        <f t="shared" si="0"/>
        <v>0.27306712962962953</v>
      </c>
      <c r="O15" s="115">
        <f t="shared" si="9"/>
        <v>0.29356481481481483</v>
      </c>
      <c r="P15" s="115">
        <f t="shared" si="1"/>
        <v>0.39806712962962953</v>
      </c>
      <c r="Q15" s="101">
        <f t="shared" si="2"/>
        <v>0.16856481481481483</v>
      </c>
      <c r="R15" s="111"/>
      <c r="S15" s="96" t="s">
        <v>295</v>
      </c>
      <c r="T15" s="101">
        <v>0.26627314814814812</v>
      </c>
      <c r="U15" s="101">
        <v>0.74960648148148146</v>
      </c>
      <c r="V15" s="101">
        <f t="shared" si="10"/>
        <v>0.51666666666666661</v>
      </c>
      <c r="W15" s="101">
        <f t="shared" si="11"/>
        <v>0.25039351851851854</v>
      </c>
      <c r="X15" s="115">
        <f t="shared" si="12"/>
        <v>0.26627314814814812</v>
      </c>
      <c r="Y15" s="115">
        <f t="shared" si="13"/>
        <v>0.37539351851851854</v>
      </c>
      <c r="Z15" s="101">
        <f t="shared" si="14"/>
        <v>0.14127314814814812</v>
      </c>
      <c r="AA15" s="111"/>
      <c r="AB15" s="102" t="s">
        <v>296</v>
      </c>
      <c r="AC15" s="101">
        <v>0.27282407407407411</v>
      </c>
      <c r="AD15" s="101">
        <v>0.81405092592592598</v>
      </c>
      <c r="AE15" s="101">
        <f t="shared" si="15"/>
        <v>0.45877314814814812</v>
      </c>
      <c r="AF15" s="101">
        <f t="shared" si="16"/>
        <v>0.18594907407407402</v>
      </c>
      <c r="AG15" s="115">
        <f t="shared" si="17"/>
        <v>0.27282407407407411</v>
      </c>
      <c r="AH15" s="115">
        <f t="shared" si="18"/>
        <v>0.31094907407407402</v>
      </c>
      <c r="AI15" s="101">
        <f t="shared" si="19"/>
        <v>0.14782407407407411</v>
      </c>
    </row>
    <row r="16" spans="1:40">
      <c r="A16" s="96" t="s">
        <v>297</v>
      </c>
      <c r="B16" s="111">
        <v>0.30813657407407408</v>
      </c>
      <c r="C16" s="111">
        <v>0.70243055555555556</v>
      </c>
      <c r="D16" s="111">
        <f t="shared" si="3"/>
        <v>0.60570601851851857</v>
      </c>
      <c r="E16" s="112">
        <f t="shared" si="4"/>
        <v>0.29756944444444444</v>
      </c>
      <c r="F16" s="113">
        <f t="shared" si="5"/>
        <v>0.30813657407407408</v>
      </c>
      <c r="G16" s="114">
        <f t="shared" si="6"/>
        <v>0.42256944444444444</v>
      </c>
      <c r="H16" s="111">
        <f t="shared" si="7"/>
        <v>0.18313657407407408</v>
      </c>
      <c r="I16" s="111"/>
      <c r="J16" s="102" t="s">
        <v>298</v>
      </c>
      <c r="K16" s="101">
        <v>0.29276620370370371</v>
      </c>
      <c r="L16" s="101">
        <v>0.72777777777777775</v>
      </c>
      <c r="M16" s="101">
        <f t="shared" si="8"/>
        <v>0.56498842592592591</v>
      </c>
      <c r="N16" s="101">
        <f t="shared" si="0"/>
        <v>0.27222222222222225</v>
      </c>
      <c r="O16" s="115">
        <f t="shared" si="9"/>
        <v>0.29276620370370371</v>
      </c>
      <c r="P16" s="115">
        <f t="shared" si="1"/>
        <v>0.39722222222222225</v>
      </c>
      <c r="Q16" s="101">
        <f t="shared" si="2"/>
        <v>0.16776620370370371</v>
      </c>
      <c r="R16" s="111"/>
      <c r="S16" s="96" t="s">
        <v>298</v>
      </c>
      <c r="T16" s="101">
        <v>0.26516203703703706</v>
      </c>
      <c r="U16" s="101">
        <v>0.75037037037037047</v>
      </c>
      <c r="V16" s="101">
        <f t="shared" si="10"/>
        <v>0.51479166666666654</v>
      </c>
      <c r="W16" s="101">
        <f t="shared" si="11"/>
        <v>0.24962962962962953</v>
      </c>
      <c r="X16" s="115">
        <f t="shared" si="12"/>
        <v>0.26516203703703706</v>
      </c>
      <c r="Y16" s="115">
        <f t="shared" si="13"/>
        <v>0.37462962962962953</v>
      </c>
      <c r="Z16" s="101">
        <f t="shared" si="14"/>
        <v>0.14016203703703706</v>
      </c>
      <c r="AA16" s="111"/>
      <c r="AB16" s="117" t="s">
        <v>299</v>
      </c>
      <c r="AC16" s="101">
        <v>0.27172453703703703</v>
      </c>
      <c r="AD16" s="101">
        <v>0.81476851851851861</v>
      </c>
      <c r="AE16" s="101">
        <f t="shared" si="15"/>
        <v>0.45695601851851841</v>
      </c>
      <c r="AF16" s="101">
        <f t="shared" si="16"/>
        <v>0.18523148148148139</v>
      </c>
      <c r="AG16" s="115">
        <f t="shared" si="17"/>
        <v>0.27172453703703703</v>
      </c>
      <c r="AH16" s="115">
        <f t="shared" si="18"/>
        <v>0.31023148148148139</v>
      </c>
      <c r="AI16" s="101">
        <f t="shared" si="19"/>
        <v>0.14672453703703703</v>
      </c>
      <c r="AN16" s="116"/>
    </row>
    <row r="17" spans="1:35">
      <c r="A17" s="96" t="s">
        <v>300</v>
      </c>
      <c r="B17" s="111">
        <v>0.30799768518518517</v>
      </c>
      <c r="C17" s="111">
        <v>0.70314814814814808</v>
      </c>
      <c r="D17" s="111">
        <f t="shared" si="3"/>
        <v>0.60484953703703703</v>
      </c>
      <c r="E17" s="112">
        <f t="shared" si="4"/>
        <v>0.29685185185185192</v>
      </c>
      <c r="F17" s="113">
        <f t="shared" si="5"/>
        <v>0.30799768518518517</v>
      </c>
      <c r="G17" s="114">
        <f t="shared" si="6"/>
        <v>0.42185185185185192</v>
      </c>
      <c r="H17" s="111">
        <f t="shared" si="7"/>
        <v>0.18299768518518517</v>
      </c>
      <c r="I17" s="111"/>
      <c r="J17" s="102" t="s">
        <v>301</v>
      </c>
      <c r="K17" s="101">
        <v>0.29194444444444445</v>
      </c>
      <c r="L17" s="101">
        <v>0.72862268518518514</v>
      </c>
      <c r="M17" s="101">
        <f t="shared" si="8"/>
        <v>0.56332175925925931</v>
      </c>
      <c r="N17" s="101">
        <f t="shared" si="0"/>
        <v>0.27137731481481486</v>
      </c>
      <c r="O17" s="115">
        <f t="shared" si="9"/>
        <v>0.29194444444444445</v>
      </c>
      <c r="P17" s="115">
        <f t="shared" si="1"/>
        <v>0.39637731481481486</v>
      </c>
      <c r="Q17" s="101">
        <f t="shared" si="2"/>
        <v>0.16694444444444445</v>
      </c>
      <c r="R17" s="111"/>
      <c r="S17" s="96" t="s">
        <v>301</v>
      </c>
      <c r="T17" s="101">
        <v>0.26405092592592594</v>
      </c>
      <c r="U17" s="101">
        <v>0.75112268518518521</v>
      </c>
      <c r="V17" s="101">
        <f t="shared" si="10"/>
        <v>0.51292824074074073</v>
      </c>
      <c r="W17" s="101">
        <f t="shared" si="11"/>
        <v>0.24887731481481479</v>
      </c>
      <c r="X17" s="115">
        <f t="shared" si="12"/>
        <v>0.26405092592592594</v>
      </c>
      <c r="Y17" s="115">
        <f t="shared" si="13"/>
        <v>0.37387731481481479</v>
      </c>
      <c r="Z17" s="101">
        <f t="shared" si="14"/>
        <v>0.13905092592592594</v>
      </c>
      <c r="AA17" s="111"/>
      <c r="AB17" s="102" t="s">
        <v>302</v>
      </c>
      <c r="AC17" s="101">
        <v>0.270625</v>
      </c>
      <c r="AD17" s="101">
        <v>0.81549768518518517</v>
      </c>
      <c r="AE17" s="101">
        <f t="shared" si="15"/>
        <v>0.45512731481481483</v>
      </c>
      <c r="AF17" s="101">
        <f t="shared" si="16"/>
        <v>0.18450231481481483</v>
      </c>
      <c r="AG17" s="115">
        <f t="shared" si="17"/>
        <v>0.270625</v>
      </c>
      <c r="AH17" s="115">
        <f t="shared" si="18"/>
        <v>0.30950231481481483</v>
      </c>
      <c r="AI17" s="101">
        <f t="shared" si="19"/>
        <v>0.145625</v>
      </c>
    </row>
    <row r="18" spans="1:35">
      <c r="A18" s="96" t="s">
        <v>303</v>
      </c>
      <c r="B18" s="111">
        <v>0.30782407407407408</v>
      </c>
      <c r="C18" s="111">
        <v>0.70387731481481486</v>
      </c>
      <c r="D18" s="111">
        <f t="shared" si="3"/>
        <v>0.60394675925925922</v>
      </c>
      <c r="E18" s="112">
        <f t="shared" si="4"/>
        <v>0.29612268518518514</v>
      </c>
      <c r="F18" s="113">
        <f t="shared" si="5"/>
        <v>0.30782407407407408</v>
      </c>
      <c r="G18" s="114">
        <f t="shared" si="6"/>
        <v>0.42112268518518514</v>
      </c>
      <c r="H18" s="111">
        <f t="shared" si="7"/>
        <v>0.18282407407407408</v>
      </c>
      <c r="I18" s="111"/>
      <c r="J18" s="102" t="s">
        <v>304</v>
      </c>
      <c r="K18" s="101">
        <v>0.2911111111111111</v>
      </c>
      <c r="L18" s="101">
        <v>0.72946759259259253</v>
      </c>
      <c r="M18" s="101">
        <f t="shared" si="8"/>
        <v>0.56164351851851857</v>
      </c>
      <c r="N18" s="101">
        <f t="shared" si="0"/>
        <v>0.27053240740740747</v>
      </c>
      <c r="O18" s="115">
        <f t="shared" si="9"/>
        <v>0.2911111111111111</v>
      </c>
      <c r="P18" s="115">
        <f t="shared" si="1"/>
        <v>0.39553240740740747</v>
      </c>
      <c r="Q18" s="101">
        <f t="shared" si="2"/>
        <v>0.1661111111111111</v>
      </c>
      <c r="R18" s="111"/>
      <c r="S18" s="96" t="s">
        <v>304</v>
      </c>
      <c r="T18" s="101">
        <v>0.26293981481481482</v>
      </c>
      <c r="U18" s="101">
        <v>0.751886574074074</v>
      </c>
      <c r="V18" s="101">
        <f t="shared" si="10"/>
        <v>0.51105324074074088</v>
      </c>
      <c r="W18" s="101">
        <f t="shared" si="11"/>
        <v>0.248113425925926</v>
      </c>
      <c r="X18" s="115">
        <f t="shared" si="12"/>
        <v>0.26293981481481482</v>
      </c>
      <c r="Y18" s="115">
        <f t="shared" si="13"/>
        <v>0.373113425925926</v>
      </c>
      <c r="Z18" s="101">
        <f t="shared" si="14"/>
        <v>0.13793981481481482</v>
      </c>
      <c r="AA18" s="111"/>
      <c r="AB18" s="102" t="s">
        <v>305</v>
      </c>
      <c r="AC18" s="101">
        <v>0.26953703703703702</v>
      </c>
      <c r="AD18" s="101">
        <v>0.8162152777777778</v>
      </c>
      <c r="AE18" s="101">
        <f t="shared" si="15"/>
        <v>0.45332175925925922</v>
      </c>
      <c r="AF18" s="101">
        <f t="shared" si="16"/>
        <v>0.1837847222222222</v>
      </c>
      <c r="AG18" s="115">
        <f t="shared" si="17"/>
        <v>0.26953703703703702</v>
      </c>
      <c r="AH18" s="115">
        <f t="shared" si="18"/>
        <v>0.3087847222222222</v>
      </c>
      <c r="AI18" s="101">
        <f t="shared" si="19"/>
        <v>0.14453703703703702</v>
      </c>
    </row>
    <row r="19" spans="1:35">
      <c r="A19" s="96" t="s">
        <v>306</v>
      </c>
      <c r="B19" s="111">
        <v>0.30762731481481481</v>
      </c>
      <c r="C19" s="111">
        <v>0.70461805555555557</v>
      </c>
      <c r="D19" s="111">
        <f t="shared" si="3"/>
        <v>0.6030092592592593</v>
      </c>
      <c r="E19" s="112">
        <f t="shared" si="4"/>
        <v>0.29538194444444443</v>
      </c>
      <c r="F19" s="113">
        <f t="shared" si="5"/>
        <v>0.30762731481481481</v>
      </c>
      <c r="G19" s="114">
        <f t="shared" si="6"/>
        <v>0.42038194444444443</v>
      </c>
      <c r="H19" s="111">
        <f t="shared" si="7"/>
        <v>0.18262731481481481</v>
      </c>
      <c r="I19" s="111"/>
      <c r="J19" s="117" t="s">
        <v>307</v>
      </c>
      <c r="K19" s="101">
        <v>0.29026620370370371</v>
      </c>
      <c r="L19" s="101">
        <v>0.73031250000000003</v>
      </c>
      <c r="M19" s="101">
        <f t="shared" si="8"/>
        <v>0.55995370370370368</v>
      </c>
      <c r="N19" s="101">
        <f t="shared" si="0"/>
        <v>0.26968749999999997</v>
      </c>
      <c r="O19" s="115">
        <f t="shared" si="9"/>
        <v>0.29026620370370371</v>
      </c>
      <c r="P19" s="115">
        <f t="shared" si="1"/>
        <v>0.39468749999999997</v>
      </c>
      <c r="Q19" s="101">
        <f t="shared" si="2"/>
        <v>0.16526620370370371</v>
      </c>
      <c r="R19" s="111"/>
      <c r="S19" s="110" t="s">
        <v>307</v>
      </c>
      <c r="T19" s="101">
        <v>0.30348379629629629</v>
      </c>
      <c r="U19" s="101">
        <v>0.79430555555555549</v>
      </c>
      <c r="V19" s="101">
        <f t="shared" si="10"/>
        <v>0.50917824074074081</v>
      </c>
      <c r="W19" s="101">
        <f t="shared" si="11"/>
        <v>0.20569444444444451</v>
      </c>
      <c r="X19" s="115">
        <f t="shared" si="12"/>
        <v>0.30348379629629629</v>
      </c>
      <c r="Y19" s="115">
        <f t="shared" si="13"/>
        <v>0.33069444444444451</v>
      </c>
      <c r="Z19" s="101">
        <f t="shared" si="14"/>
        <v>0.17848379629629629</v>
      </c>
      <c r="AA19" s="111"/>
      <c r="AB19" s="102" t="s">
        <v>308</v>
      </c>
      <c r="AC19" s="101">
        <v>0.26846064814814813</v>
      </c>
      <c r="AD19" s="101">
        <v>0.81694444444444436</v>
      </c>
      <c r="AE19" s="101">
        <f t="shared" si="15"/>
        <v>0.45151620370370377</v>
      </c>
      <c r="AF19" s="101">
        <f t="shared" si="16"/>
        <v>0.18305555555555564</v>
      </c>
      <c r="AG19" s="115">
        <f t="shared" si="17"/>
        <v>0.26846064814814813</v>
      </c>
      <c r="AH19" s="115">
        <f t="shared" si="18"/>
        <v>0.30805555555555564</v>
      </c>
      <c r="AI19" s="101">
        <f t="shared" si="19"/>
        <v>0.14346064814814813</v>
      </c>
    </row>
    <row r="20" spans="1:35">
      <c r="A20" s="96" t="s">
        <v>309</v>
      </c>
      <c r="B20" s="111">
        <v>0.30740740740740741</v>
      </c>
      <c r="C20" s="111">
        <v>0.70535879629629628</v>
      </c>
      <c r="D20" s="111">
        <f t="shared" si="3"/>
        <v>0.60204861111111119</v>
      </c>
      <c r="E20" s="112">
        <f t="shared" si="4"/>
        <v>0.29464120370370372</v>
      </c>
      <c r="F20" s="113">
        <f t="shared" si="5"/>
        <v>0.30740740740740741</v>
      </c>
      <c r="G20" s="114">
        <f t="shared" si="6"/>
        <v>0.41964120370370372</v>
      </c>
      <c r="H20" s="111">
        <f t="shared" si="7"/>
        <v>0.18240740740740741</v>
      </c>
      <c r="I20" s="111"/>
      <c r="J20" s="102" t="s">
        <v>310</v>
      </c>
      <c r="K20" s="101">
        <v>0.28939814814814818</v>
      </c>
      <c r="L20" s="101">
        <v>0.73115740740740742</v>
      </c>
      <c r="M20" s="101">
        <f t="shared" si="8"/>
        <v>0.55824074074074082</v>
      </c>
      <c r="N20" s="101">
        <f t="shared" si="0"/>
        <v>0.26884259259259258</v>
      </c>
      <c r="O20" s="115">
        <f t="shared" si="9"/>
        <v>0.28939814814814818</v>
      </c>
      <c r="P20" s="115">
        <f t="shared" si="1"/>
        <v>0.39384259259259258</v>
      </c>
      <c r="Q20" s="101">
        <f t="shared" si="2"/>
        <v>0.16439814814814818</v>
      </c>
      <c r="R20" s="111"/>
      <c r="S20" s="96" t="s">
        <v>310</v>
      </c>
      <c r="T20" s="101">
        <v>0.30236111111111114</v>
      </c>
      <c r="U20" s="101">
        <v>0.79505787037037035</v>
      </c>
      <c r="V20" s="101">
        <f t="shared" si="10"/>
        <v>0.50730324074074074</v>
      </c>
      <c r="W20" s="101">
        <f t="shared" si="11"/>
        <v>0.20494212962962965</v>
      </c>
      <c r="X20" s="115">
        <f t="shared" si="12"/>
        <v>0.30236111111111114</v>
      </c>
      <c r="Y20" s="115">
        <f t="shared" si="13"/>
        <v>0.32994212962962965</v>
      </c>
      <c r="Z20" s="101">
        <f t="shared" si="14"/>
        <v>0.17736111111111114</v>
      </c>
      <c r="AA20" s="111"/>
      <c r="AB20" s="102" t="s">
        <v>311</v>
      </c>
      <c r="AC20" s="101">
        <v>0.2673726851851852</v>
      </c>
      <c r="AD20" s="101">
        <v>0.81766203703703699</v>
      </c>
      <c r="AE20" s="101">
        <f t="shared" si="15"/>
        <v>0.44971064814814821</v>
      </c>
      <c r="AF20" s="101">
        <f t="shared" si="16"/>
        <v>0.18233796296296301</v>
      </c>
      <c r="AG20" s="115">
        <f t="shared" si="17"/>
        <v>0.2673726851851852</v>
      </c>
      <c r="AH20" s="115">
        <f t="shared" si="18"/>
        <v>0.30733796296296301</v>
      </c>
      <c r="AI20" s="101">
        <f t="shared" si="19"/>
        <v>0.1423726851851852</v>
      </c>
    </row>
    <row r="21" spans="1:35">
      <c r="A21" s="96" t="s">
        <v>312</v>
      </c>
      <c r="B21" s="111">
        <v>0.30716435185185187</v>
      </c>
      <c r="C21" s="111">
        <v>0.70612268518518517</v>
      </c>
      <c r="D21" s="111">
        <f t="shared" si="3"/>
        <v>0.6010416666666667</v>
      </c>
      <c r="E21" s="112">
        <f t="shared" si="4"/>
        <v>0.29387731481481483</v>
      </c>
      <c r="F21" s="113">
        <f t="shared" si="5"/>
        <v>0.30716435185185187</v>
      </c>
      <c r="G21" s="114">
        <f t="shared" si="6"/>
        <v>0.41887731481481483</v>
      </c>
      <c r="H21" s="111">
        <f t="shared" si="7"/>
        <v>0.18216435185185187</v>
      </c>
      <c r="I21" s="111"/>
      <c r="J21" s="102" t="s">
        <v>313</v>
      </c>
      <c r="K21" s="101">
        <v>0.28851851851851851</v>
      </c>
      <c r="L21" s="101">
        <v>0.73199074074074078</v>
      </c>
      <c r="M21" s="101">
        <f t="shared" si="8"/>
        <v>0.55652777777777773</v>
      </c>
      <c r="N21" s="101">
        <f t="shared" si="0"/>
        <v>0.26800925925925922</v>
      </c>
      <c r="O21" s="115">
        <f t="shared" si="9"/>
        <v>0.28851851851851851</v>
      </c>
      <c r="P21" s="115">
        <f t="shared" si="1"/>
        <v>0.39300925925925922</v>
      </c>
      <c r="Q21" s="101">
        <f t="shared" si="2"/>
        <v>0.16351851851851851</v>
      </c>
      <c r="R21" s="111"/>
      <c r="S21" s="96" t="s">
        <v>313</v>
      </c>
      <c r="T21" s="101">
        <v>0.30122685185185188</v>
      </c>
      <c r="U21" s="101">
        <v>0.79579861111111105</v>
      </c>
      <c r="V21" s="101">
        <f t="shared" si="10"/>
        <v>0.50542824074074089</v>
      </c>
      <c r="W21" s="101">
        <f t="shared" si="11"/>
        <v>0.20420138888888895</v>
      </c>
      <c r="X21" s="115">
        <f t="shared" si="12"/>
        <v>0.30122685185185188</v>
      </c>
      <c r="Y21" s="115">
        <f t="shared" si="13"/>
        <v>0.32920138888888895</v>
      </c>
      <c r="Z21" s="101">
        <f t="shared" si="14"/>
        <v>0.17622685185185188</v>
      </c>
      <c r="AA21" s="111"/>
      <c r="AB21" s="102" t="s">
        <v>314</v>
      </c>
      <c r="AC21" s="101">
        <v>0.26630787037037035</v>
      </c>
      <c r="AD21" s="101">
        <v>0.81839120370370377</v>
      </c>
      <c r="AE21" s="101">
        <f t="shared" si="15"/>
        <v>0.44791666666666657</v>
      </c>
      <c r="AF21" s="101">
        <f t="shared" si="16"/>
        <v>0.18160879629629623</v>
      </c>
      <c r="AG21" s="115">
        <f t="shared" si="17"/>
        <v>0.26630787037037035</v>
      </c>
      <c r="AH21" s="115">
        <f t="shared" si="18"/>
        <v>0.30660879629629623</v>
      </c>
      <c r="AI21" s="101">
        <f t="shared" si="19"/>
        <v>0.14130787037037035</v>
      </c>
    </row>
    <row r="22" spans="1:35">
      <c r="A22" s="110" t="s">
        <v>315</v>
      </c>
      <c r="B22" s="111">
        <v>0.30689814814814814</v>
      </c>
      <c r="C22" s="111">
        <v>0.70689814814814811</v>
      </c>
      <c r="D22" s="111">
        <f t="shared" si="3"/>
        <v>0.60000000000000009</v>
      </c>
      <c r="E22" s="112">
        <f t="shared" si="4"/>
        <v>0.29310185185185189</v>
      </c>
      <c r="F22" s="113">
        <f t="shared" si="5"/>
        <v>0.30689814814814814</v>
      </c>
      <c r="G22" s="114">
        <f t="shared" si="6"/>
        <v>0.41810185185185189</v>
      </c>
      <c r="H22" s="111">
        <f t="shared" si="7"/>
        <v>0.18189814814814814</v>
      </c>
      <c r="I22" s="111"/>
      <c r="J22" s="102" t="s">
        <v>316</v>
      </c>
      <c r="K22" s="101">
        <v>0.28762731481481479</v>
      </c>
      <c r="L22" s="101">
        <v>0.73282407407407402</v>
      </c>
      <c r="M22" s="101">
        <f t="shared" si="8"/>
        <v>0.55480324074074083</v>
      </c>
      <c r="N22" s="101">
        <f t="shared" si="0"/>
        <v>0.26717592592592598</v>
      </c>
      <c r="O22" s="115">
        <f t="shared" si="9"/>
        <v>0.28762731481481479</v>
      </c>
      <c r="P22" s="115">
        <f t="shared" si="1"/>
        <v>0.39217592592592598</v>
      </c>
      <c r="Q22" s="101">
        <f t="shared" si="2"/>
        <v>0.16262731481481479</v>
      </c>
      <c r="R22" s="111"/>
      <c r="S22" s="96" t="s">
        <v>316</v>
      </c>
      <c r="T22" s="101">
        <v>0.30009259259259258</v>
      </c>
      <c r="U22" s="101">
        <v>0.79655092592592591</v>
      </c>
      <c r="V22" s="101">
        <f t="shared" si="10"/>
        <v>0.50354166666666667</v>
      </c>
      <c r="W22" s="101">
        <f t="shared" si="11"/>
        <v>0.20344907407407409</v>
      </c>
      <c r="X22" s="115">
        <f t="shared" si="12"/>
        <v>0.30009259259259258</v>
      </c>
      <c r="Y22" s="115">
        <f t="shared" si="13"/>
        <v>0.32844907407407409</v>
      </c>
      <c r="Z22" s="101">
        <f t="shared" si="14"/>
        <v>0.17509259259259258</v>
      </c>
      <c r="AA22" s="111"/>
      <c r="AB22" s="102" t="s">
        <v>317</v>
      </c>
      <c r="AC22" s="101">
        <v>0.26524305555555555</v>
      </c>
      <c r="AD22" s="101">
        <v>0.81910879629629629</v>
      </c>
      <c r="AE22" s="101">
        <f t="shared" si="15"/>
        <v>0.44613425925925926</v>
      </c>
      <c r="AF22" s="101">
        <f t="shared" si="16"/>
        <v>0.18089120370370371</v>
      </c>
      <c r="AG22" s="115">
        <f t="shared" si="17"/>
        <v>0.26524305555555555</v>
      </c>
      <c r="AH22" s="115">
        <f t="shared" si="18"/>
        <v>0.30589120370370371</v>
      </c>
      <c r="AI22" s="101">
        <f t="shared" si="19"/>
        <v>0.14024305555555555</v>
      </c>
    </row>
    <row r="23" spans="1:35">
      <c r="A23" s="96" t="s">
        <v>318</v>
      </c>
      <c r="B23" s="111">
        <v>0.30660879629629628</v>
      </c>
      <c r="C23" s="111">
        <v>0.70767361111111116</v>
      </c>
      <c r="D23" s="111">
        <f t="shared" si="3"/>
        <v>0.59893518518518518</v>
      </c>
      <c r="E23" s="112">
        <f t="shared" si="4"/>
        <v>0.29232638888888884</v>
      </c>
      <c r="F23" s="113">
        <f t="shared" si="5"/>
        <v>0.30660879629629628</v>
      </c>
      <c r="G23" s="114">
        <f t="shared" si="6"/>
        <v>0.41732638888888884</v>
      </c>
      <c r="H23" s="111">
        <f t="shared" si="7"/>
        <v>0.18160879629629628</v>
      </c>
      <c r="I23" s="111"/>
      <c r="J23" s="102" t="s">
        <v>319</v>
      </c>
      <c r="K23" s="101">
        <v>0.28671296296296295</v>
      </c>
      <c r="L23" s="101">
        <v>0.73365740740740737</v>
      </c>
      <c r="M23" s="101">
        <f t="shared" si="8"/>
        <v>0.55305555555555563</v>
      </c>
      <c r="N23" s="101">
        <f t="shared" si="0"/>
        <v>0.26634259259259263</v>
      </c>
      <c r="O23" s="115">
        <f t="shared" si="9"/>
        <v>0.28671296296296295</v>
      </c>
      <c r="P23" s="115">
        <f t="shared" si="1"/>
        <v>0.39134259259259263</v>
      </c>
      <c r="Q23" s="101">
        <f t="shared" si="2"/>
        <v>0.16171296296296295</v>
      </c>
      <c r="R23" s="111"/>
      <c r="S23" s="96" t="s">
        <v>319</v>
      </c>
      <c r="T23" s="101">
        <v>0.29895833333333333</v>
      </c>
      <c r="U23" s="101">
        <v>0.79729166666666673</v>
      </c>
      <c r="V23" s="101">
        <f t="shared" si="10"/>
        <v>0.50166666666666659</v>
      </c>
      <c r="W23" s="101">
        <f t="shared" si="11"/>
        <v>0.20270833333333327</v>
      </c>
      <c r="X23" s="115">
        <f t="shared" si="12"/>
        <v>0.29895833333333333</v>
      </c>
      <c r="Y23" s="115">
        <f t="shared" si="13"/>
        <v>0.32770833333333327</v>
      </c>
      <c r="Z23" s="101">
        <f t="shared" si="14"/>
        <v>0.17395833333333333</v>
      </c>
      <c r="AA23" s="111"/>
      <c r="AB23" s="117" t="s">
        <v>320</v>
      </c>
      <c r="AC23" s="101">
        <v>0.26418981481481479</v>
      </c>
      <c r="AD23" s="101">
        <v>0.81983796296296296</v>
      </c>
      <c r="AE23" s="101">
        <f t="shared" si="15"/>
        <v>0.44435185185185183</v>
      </c>
      <c r="AF23" s="101">
        <f t="shared" si="16"/>
        <v>0.18016203703703704</v>
      </c>
      <c r="AG23" s="115">
        <f t="shared" si="17"/>
        <v>0.26418981481481479</v>
      </c>
      <c r="AH23" s="115">
        <f t="shared" si="18"/>
        <v>0.30516203703703704</v>
      </c>
      <c r="AI23" s="101">
        <f t="shared" si="19"/>
        <v>0.13918981481481479</v>
      </c>
    </row>
    <row r="24" spans="1:35">
      <c r="A24" s="96" t="s">
        <v>321</v>
      </c>
      <c r="B24" s="111">
        <v>0.30628472222222219</v>
      </c>
      <c r="C24" s="111">
        <v>0.70846064814814813</v>
      </c>
      <c r="D24" s="111">
        <f t="shared" si="3"/>
        <v>0.59782407407407412</v>
      </c>
      <c r="E24" s="112">
        <f t="shared" si="4"/>
        <v>0.29153935185185187</v>
      </c>
      <c r="F24" s="113">
        <f t="shared" si="5"/>
        <v>0.30628472222222219</v>
      </c>
      <c r="G24" s="114">
        <f t="shared" si="6"/>
        <v>0.41653935185185187</v>
      </c>
      <c r="H24" s="111">
        <f t="shared" si="7"/>
        <v>0.18128472222222219</v>
      </c>
      <c r="I24" s="111"/>
      <c r="J24" s="102" t="s">
        <v>322</v>
      </c>
      <c r="K24" s="101">
        <v>0.2857986111111111</v>
      </c>
      <c r="L24" s="101">
        <v>0.73449074074074072</v>
      </c>
      <c r="M24" s="101">
        <f t="shared" si="8"/>
        <v>0.55130787037037043</v>
      </c>
      <c r="N24" s="101">
        <f t="shared" si="0"/>
        <v>0.26550925925925928</v>
      </c>
      <c r="O24" s="115">
        <f t="shared" si="9"/>
        <v>0.2857986111111111</v>
      </c>
      <c r="P24" s="115">
        <f t="shared" si="1"/>
        <v>0.39050925925925928</v>
      </c>
      <c r="Q24" s="101">
        <f t="shared" si="2"/>
        <v>0.1607986111111111</v>
      </c>
      <c r="R24" s="111"/>
      <c r="S24" s="96" t="s">
        <v>322</v>
      </c>
      <c r="T24" s="101">
        <v>0.29782407407407407</v>
      </c>
      <c r="U24" s="101">
        <v>0.79803240740740744</v>
      </c>
      <c r="V24" s="101">
        <f t="shared" si="10"/>
        <v>0.49979166666666663</v>
      </c>
      <c r="W24" s="101">
        <f t="shared" si="11"/>
        <v>0.20196759259259256</v>
      </c>
      <c r="X24" s="115">
        <f t="shared" si="12"/>
        <v>0.29782407407407407</v>
      </c>
      <c r="Y24" s="115">
        <f t="shared" si="13"/>
        <v>0.32696759259259256</v>
      </c>
      <c r="Z24" s="101">
        <f t="shared" si="14"/>
        <v>0.17282407407407407</v>
      </c>
      <c r="AA24" s="111"/>
      <c r="AB24" s="102" t="s">
        <v>323</v>
      </c>
      <c r="AC24" s="101">
        <v>0.26314814814814813</v>
      </c>
      <c r="AD24" s="101">
        <v>0.82055555555555559</v>
      </c>
      <c r="AE24" s="101">
        <f t="shared" si="15"/>
        <v>0.44259259259259254</v>
      </c>
      <c r="AF24" s="101">
        <f t="shared" si="16"/>
        <v>0.17944444444444441</v>
      </c>
      <c r="AG24" s="115">
        <f t="shared" si="17"/>
        <v>0.26314814814814813</v>
      </c>
      <c r="AH24" s="115">
        <f t="shared" si="18"/>
        <v>0.30444444444444441</v>
      </c>
      <c r="AI24" s="101">
        <f t="shared" si="19"/>
        <v>0.13814814814814813</v>
      </c>
    </row>
    <row r="25" spans="1:35">
      <c r="A25" s="96" t="s">
        <v>324</v>
      </c>
      <c r="B25" s="111">
        <v>0.30593750000000003</v>
      </c>
      <c r="C25" s="111">
        <v>0.70925925925925926</v>
      </c>
      <c r="D25" s="111">
        <f t="shared" si="3"/>
        <v>0.59667824074074072</v>
      </c>
      <c r="E25" s="112">
        <f t="shared" si="4"/>
        <v>0.29074074074074074</v>
      </c>
      <c r="F25" s="113">
        <f t="shared" si="5"/>
        <v>0.30593750000000003</v>
      </c>
      <c r="G25" s="114">
        <f t="shared" si="6"/>
        <v>0.41574074074074074</v>
      </c>
      <c r="H25" s="111">
        <f t="shared" si="7"/>
        <v>0.18093750000000003</v>
      </c>
      <c r="I25" s="111"/>
      <c r="J25" s="102" t="s">
        <v>325</v>
      </c>
      <c r="K25" s="101">
        <v>0.28486111111111112</v>
      </c>
      <c r="L25" s="101">
        <v>0.73531250000000004</v>
      </c>
      <c r="M25" s="101">
        <f t="shared" si="8"/>
        <v>0.54954861111111108</v>
      </c>
      <c r="N25" s="101">
        <f t="shared" si="0"/>
        <v>0.26468749999999996</v>
      </c>
      <c r="O25" s="115">
        <f t="shared" si="9"/>
        <v>0.28486111111111112</v>
      </c>
      <c r="P25" s="115">
        <f t="shared" si="1"/>
        <v>0.38968749999999996</v>
      </c>
      <c r="Q25" s="101">
        <f t="shared" si="2"/>
        <v>0.15986111111111112</v>
      </c>
      <c r="R25" s="111"/>
      <c r="S25" s="96" t="s">
        <v>325</v>
      </c>
      <c r="T25" s="101">
        <v>0.29667824074074073</v>
      </c>
      <c r="U25" s="101">
        <v>0.79877314814814815</v>
      </c>
      <c r="V25" s="101">
        <f t="shared" si="10"/>
        <v>0.49790509259259258</v>
      </c>
      <c r="W25" s="101">
        <f t="shared" si="11"/>
        <v>0.20122685185185185</v>
      </c>
      <c r="X25" s="115">
        <f t="shared" si="12"/>
        <v>0.29667824074074073</v>
      </c>
      <c r="Y25" s="115">
        <f t="shared" si="13"/>
        <v>0.32622685185185185</v>
      </c>
      <c r="Z25" s="101">
        <f t="shared" si="14"/>
        <v>0.17167824074074073</v>
      </c>
      <c r="AA25" s="111"/>
      <c r="AB25" s="102" t="s">
        <v>326</v>
      </c>
      <c r="AC25" s="101">
        <v>0.26210648148148147</v>
      </c>
      <c r="AD25" s="101">
        <v>0.82128472222222226</v>
      </c>
      <c r="AE25" s="101">
        <f t="shared" si="15"/>
        <v>0.4408217592592592</v>
      </c>
      <c r="AF25" s="101">
        <f t="shared" si="16"/>
        <v>0.17871527777777774</v>
      </c>
      <c r="AG25" s="115">
        <f t="shared" si="17"/>
        <v>0.26210648148148147</v>
      </c>
      <c r="AH25" s="115">
        <f t="shared" si="18"/>
        <v>0.30371527777777774</v>
      </c>
      <c r="AI25" s="101">
        <f t="shared" si="19"/>
        <v>0.13710648148148147</v>
      </c>
    </row>
    <row r="26" spans="1:35">
      <c r="A26" s="96" t="s">
        <v>327</v>
      </c>
      <c r="B26" s="111">
        <v>0.30556712962962962</v>
      </c>
      <c r="C26" s="111">
        <v>0.71006944444444453</v>
      </c>
      <c r="D26" s="111">
        <f t="shared" si="3"/>
        <v>0.59549768518518509</v>
      </c>
      <c r="E26" s="112">
        <f t="shared" si="4"/>
        <v>0.28993055555555547</v>
      </c>
      <c r="F26" s="113">
        <f t="shared" si="5"/>
        <v>0.30556712962962962</v>
      </c>
      <c r="G26" s="114">
        <f t="shared" si="6"/>
        <v>0.41493055555555547</v>
      </c>
      <c r="H26" s="111">
        <f t="shared" si="7"/>
        <v>0.18056712962962962</v>
      </c>
      <c r="I26" s="111"/>
      <c r="J26" s="117" t="s">
        <v>328</v>
      </c>
      <c r="K26" s="101">
        <v>0.28391203703703705</v>
      </c>
      <c r="L26" s="101">
        <v>0.73613425925925924</v>
      </c>
      <c r="M26" s="101">
        <f t="shared" si="8"/>
        <v>0.54777777777777781</v>
      </c>
      <c r="N26" s="101">
        <f t="shared" si="0"/>
        <v>0.26386574074074076</v>
      </c>
      <c r="O26" s="115">
        <f t="shared" si="9"/>
        <v>0.28391203703703705</v>
      </c>
      <c r="P26" s="115">
        <f t="shared" si="1"/>
        <v>0.38886574074074076</v>
      </c>
      <c r="Q26" s="101">
        <f t="shared" si="2"/>
        <v>0.15891203703703705</v>
      </c>
      <c r="R26" s="111"/>
      <c r="S26" s="110" t="s">
        <v>328</v>
      </c>
      <c r="T26" s="101">
        <v>0.29554398148148148</v>
      </c>
      <c r="U26" s="101">
        <v>0.79951388888888886</v>
      </c>
      <c r="V26" s="101">
        <f t="shared" si="10"/>
        <v>0.49603009259259262</v>
      </c>
      <c r="W26" s="101">
        <f t="shared" si="11"/>
        <v>0.20048611111111114</v>
      </c>
      <c r="X26" s="115">
        <f t="shared" si="12"/>
        <v>0.29554398148148148</v>
      </c>
      <c r="Y26" s="115">
        <f t="shared" si="13"/>
        <v>0.32548611111111114</v>
      </c>
      <c r="Z26" s="101">
        <f t="shared" si="14"/>
        <v>0.17054398148148148</v>
      </c>
      <c r="AA26" s="111"/>
      <c r="AB26" s="102" t="s">
        <v>329</v>
      </c>
      <c r="AC26" s="101">
        <v>0.2610763888888889</v>
      </c>
      <c r="AD26" s="101">
        <v>0.82201388888888882</v>
      </c>
      <c r="AE26" s="101">
        <f t="shared" si="15"/>
        <v>0.43906250000000008</v>
      </c>
      <c r="AF26" s="101">
        <f t="shared" si="16"/>
        <v>0.17798611111111118</v>
      </c>
      <c r="AG26" s="115">
        <f t="shared" si="17"/>
        <v>0.2610763888888889</v>
      </c>
      <c r="AH26" s="115">
        <f t="shared" si="18"/>
        <v>0.30298611111111118</v>
      </c>
      <c r="AI26" s="101">
        <f t="shared" si="19"/>
        <v>0.1360763888888889</v>
      </c>
    </row>
    <row r="27" spans="1:35">
      <c r="A27" s="96" t="s">
        <v>330</v>
      </c>
      <c r="B27" s="111">
        <v>0.30517361111111113</v>
      </c>
      <c r="C27" s="111">
        <v>0.71087962962962958</v>
      </c>
      <c r="D27" s="111">
        <f t="shared" si="3"/>
        <v>0.5942939814814816</v>
      </c>
      <c r="E27" s="112">
        <f t="shared" si="4"/>
        <v>0.28912037037037042</v>
      </c>
      <c r="F27" s="113">
        <f t="shared" si="5"/>
        <v>0.30517361111111113</v>
      </c>
      <c r="G27" s="114">
        <f t="shared" si="6"/>
        <v>0.41412037037037042</v>
      </c>
      <c r="H27" s="111">
        <f t="shared" si="7"/>
        <v>0.18017361111111113</v>
      </c>
      <c r="I27" s="111"/>
      <c r="J27" s="102" t="s">
        <v>331</v>
      </c>
      <c r="K27" s="101">
        <v>0.28295138888888888</v>
      </c>
      <c r="L27" s="101">
        <v>0.73695601851851855</v>
      </c>
      <c r="M27" s="101">
        <f t="shared" si="8"/>
        <v>0.54599537037037038</v>
      </c>
      <c r="N27" s="101">
        <f t="shared" si="0"/>
        <v>0.26304398148148145</v>
      </c>
      <c r="O27" s="115">
        <f t="shared" si="9"/>
        <v>0.28295138888888888</v>
      </c>
      <c r="P27" s="115">
        <f t="shared" si="1"/>
        <v>0.38804398148148145</v>
      </c>
      <c r="Q27" s="101">
        <f t="shared" si="2"/>
        <v>0.15795138888888888</v>
      </c>
      <c r="R27" s="111"/>
      <c r="S27" s="96" t="s">
        <v>331</v>
      </c>
      <c r="T27" s="101">
        <v>0.29439814814814813</v>
      </c>
      <c r="U27" s="101">
        <v>0.80025462962962957</v>
      </c>
      <c r="V27" s="101">
        <f t="shared" si="10"/>
        <v>0.49414351851851857</v>
      </c>
      <c r="W27" s="101">
        <f t="shared" si="11"/>
        <v>0.19974537037037043</v>
      </c>
      <c r="X27" s="115">
        <f t="shared" si="12"/>
        <v>0.29439814814814813</v>
      </c>
      <c r="Y27" s="115">
        <f t="shared" si="13"/>
        <v>0.32474537037037043</v>
      </c>
      <c r="Z27" s="101">
        <f t="shared" si="14"/>
        <v>0.16939814814814813</v>
      </c>
      <c r="AA27" s="111"/>
      <c r="AB27" s="102" t="s">
        <v>332</v>
      </c>
      <c r="AC27" s="101">
        <v>0.26005787037037037</v>
      </c>
      <c r="AD27" s="101">
        <v>0.82273148148148145</v>
      </c>
      <c r="AE27" s="101">
        <f t="shared" si="15"/>
        <v>0.43732638888888892</v>
      </c>
      <c r="AF27" s="101">
        <f t="shared" si="16"/>
        <v>0.17726851851851855</v>
      </c>
      <c r="AG27" s="115">
        <f t="shared" si="17"/>
        <v>0.26005787037037037</v>
      </c>
      <c r="AH27" s="115">
        <f t="shared" si="18"/>
        <v>0.30226851851851855</v>
      </c>
      <c r="AI27" s="101">
        <f t="shared" si="19"/>
        <v>0.13505787037037037</v>
      </c>
    </row>
    <row r="28" spans="1:35">
      <c r="A28" s="96" t="s">
        <v>333</v>
      </c>
      <c r="B28" s="111">
        <v>0.30475694444444446</v>
      </c>
      <c r="C28" s="111">
        <v>0.71168981481481486</v>
      </c>
      <c r="D28" s="111">
        <f t="shared" si="3"/>
        <v>0.5930671296296296</v>
      </c>
      <c r="E28" s="112">
        <f t="shared" si="4"/>
        <v>0.28831018518518514</v>
      </c>
      <c r="F28" s="113">
        <f t="shared" si="5"/>
        <v>0.30475694444444446</v>
      </c>
      <c r="G28" s="114">
        <f t="shared" si="6"/>
        <v>0.41331018518518514</v>
      </c>
      <c r="H28" s="111">
        <f t="shared" si="7"/>
        <v>0.17975694444444446</v>
      </c>
      <c r="I28" s="111"/>
      <c r="J28" s="102" t="s">
        <v>334</v>
      </c>
      <c r="K28" s="101">
        <v>0.28197916666666667</v>
      </c>
      <c r="L28" s="101">
        <v>0.73777777777777775</v>
      </c>
      <c r="M28" s="101">
        <f t="shared" si="8"/>
        <v>0.54420138888888892</v>
      </c>
      <c r="N28" s="101">
        <f t="shared" si="0"/>
        <v>0.26222222222222225</v>
      </c>
      <c r="O28" s="115">
        <f t="shared" si="9"/>
        <v>0.28197916666666667</v>
      </c>
      <c r="P28" s="115">
        <f t="shared" si="1"/>
        <v>0.38722222222222225</v>
      </c>
      <c r="Q28" s="101">
        <f t="shared" si="2"/>
        <v>0.15697916666666667</v>
      </c>
      <c r="R28" s="111"/>
      <c r="S28" s="96" t="s">
        <v>334</v>
      </c>
      <c r="T28" s="101">
        <v>0.29325231481481479</v>
      </c>
      <c r="U28" s="101">
        <v>0.80098379629629635</v>
      </c>
      <c r="V28" s="101">
        <f t="shared" si="10"/>
        <v>0.49226851851851844</v>
      </c>
      <c r="W28" s="101">
        <f t="shared" si="11"/>
        <v>0.19901620370370365</v>
      </c>
      <c r="X28" s="115">
        <f t="shared" si="12"/>
        <v>0.29325231481481479</v>
      </c>
      <c r="Y28" s="115">
        <f t="shared" si="13"/>
        <v>0.32401620370370365</v>
      </c>
      <c r="Z28" s="101">
        <f t="shared" si="14"/>
        <v>0.16825231481481479</v>
      </c>
      <c r="AA28" s="111"/>
      <c r="AB28" s="102" t="s">
        <v>335</v>
      </c>
      <c r="AC28" s="101">
        <v>0.25905092592592593</v>
      </c>
      <c r="AD28" s="101">
        <v>0.82346064814814823</v>
      </c>
      <c r="AE28" s="101">
        <f t="shared" si="15"/>
        <v>0.4355902777777777</v>
      </c>
      <c r="AF28" s="101">
        <f t="shared" si="16"/>
        <v>0.17653935185185177</v>
      </c>
      <c r="AG28" s="115">
        <f t="shared" si="17"/>
        <v>0.25905092592592593</v>
      </c>
      <c r="AH28" s="115">
        <f t="shared" si="18"/>
        <v>0.30153935185185177</v>
      </c>
      <c r="AI28" s="101">
        <f t="shared" si="19"/>
        <v>0.13405092592592593</v>
      </c>
    </row>
    <row r="29" spans="1:35">
      <c r="A29" s="110" t="s">
        <v>336</v>
      </c>
      <c r="B29" s="111">
        <v>0.30431712962962965</v>
      </c>
      <c r="C29" s="111">
        <v>0.7125231481481481</v>
      </c>
      <c r="D29" s="111">
        <f t="shared" si="3"/>
        <v>0.59179398148148155</v>
      </c>
      <c r="E29" s="112">
        <f t="shared" si="4"/>
        <v>0.2874768518518519</v>
      </c>
      <c r="F29" s="113">
        <f t="shared" si="5"/>
        <v>0.30431712962962965</v>
      </c>
      <c r="G29" s="114">
        <f t="shared" si="6"/>
        <v>0.4124768518518519</v>
      </c>
      <c r="H29" s="111">
        <f t="shared" si="7"/>
        <v>0.17931712962962965</v>
      </c>
      <c r="I29" s="111"/>
      <c r="J29" s="102" t="s">
        <v>337</v>
      </c>
      <c r="K29" s="101">
        <v>0.28099537037037037</v>
      </c>
      <c r="L29" s="101">
        <v>0.73858796296296303</v>
      </c>
      <c r="M29" s="101">
        <f t="shared" si="8"/>
        <v>0.54240740740740734</v>
      </c>
      <c r="N29" s="101">
        <f t="shared" si="0"/>
        <v>0.26141203703703697</v>
      </c>
      <c r="O29" s="115">
        <f t="shared" si="9"/>
        <v>0.28099537037037037</v>
      </c>
      <c r="P29" s="115">
        <f t="shared" si="1"/>
        <v>0.38641203703703697</v>
      </c>
      <c r="Q29" s="101">
        <f t="shared" si="2"/>
        <v>0.15599537037037037</v>
      </c>
      <c r="R29" s="111"/>
      <c r="S29" s="96" t="s">
        <v>337</v>
      </c>
      <c r="T29" s="101">
        <v>0.29210648148148149</v>
      </c>
      <c r="U29" s="101">
        <v>0.80171296296296291</v>
      </c>
      <c r="V29" s="101">
        <f t="shared" si="10"/>
        <v>0.49039351851851859</v>
      </c>
      <c r="W29" s="101">
        <f t="shared" si="11"/>
        <v>0.19828703703703709</v>
      </c>
      <c r="X29" s="115">
        <f t="shared" si="12"/>
        <v>0.29210648148148149</v>
      </c>
      <c r="Y29" s="115">
        <f t="shared" si="13"/>
        <v>0.32328703703703709</v>
      </c>
      <c r="Z29" s="101">
        <f t="shared" si="14"/>
        <v>0.16710648148148149</v>
      </c>
      <c r="AA29" s="111"/>
      <c r="AB29" s="102" t="s">
        <v>338</v>
      </c>
      <c r="AC29" s="101">
        <v>0.25805555555555554</v>
      </c>
      <c r="AD29" s="101">
        <v>0.82418981481481479</v>
      </c>
      <c r="AE29" s="101">
        <f t="shared" si="15"/>
        <v>0.43386574074074075</v>
      </c>
      <c r="AF29" s="101">
        <f t="shared" si="16"/>
        <v>0.17581018518518521</v>
      </c>
      <c r="AG29" s="115">
        <f t="shared" si="17"/>
        <v>0.25805555555555554</v>
      </c>
      <c r="AH29" s="115">
        <f t="shared" si="18"/>
        <v>0.30081018518518521</v>
      </c>
      <c r="AI29" s="101">
        <f t="shared" si="19"/>
        <v>0.13305555555555554</v>
      </c>
    </row>
    <row r="30" spans="1:35">
      <c r="A30" s="96" t="s">
        <v>339</v>
      </c>
      <c r="B30" s="111">
        <v>0.3038541666666667</v>
      </c>
      <c r="C30" s="111">
        <v>0.7133449074074073</v>
      </c>
      <c r="D30" s="111">
        <f t="shared" si="3"/>
        <v>0.59050925925925934</v>
      </c>
      <c r="E30" s="112">
        <f t="shared" si="4"/>
        <v>0.2866550925925927</v>
      </c>
      <c r="F30" s="113">
        <f t="shared" si="5"/>
        <v>0.3038541666666667</v>
      </c>
      <c r="G30" s="114">
        <f t="shared" si="6"/>
        <v>0.4116550925925927</v>
      </c>
      <c r="H30" s="111">
        <f t="shared" si="7"/>
        <v>0.1788541666666667</v>
      </c>
      <c r="I30" s="111"/>
      <c r="J30" s="102" t="s">
        <v>340</v>
      </c>
      <c r="K30" s="101">
        <v>0.28001157407407407</v>
      </c>
      <c r="L30" s="101">
        <v>0.73939814814814808</v>
      </c>
      <c r="M30" s="101">
        <f t="shared" si="8"/>
        <v>0.54061342592592598</v>
      </c>
      <c r="N30" s="101">
        <f t="shared" si="0"/>
        <v>0.26060185185185192</v>
      </c>
      <c r="O30" s="115">
        <f t="shared" si="9"/>
        <v>0.28001157407407407</v>
      </c>
      <c r="P30" s="115">
        <f t="shared" si="1"/>
        <v>0.38560185185185192</v>
      </c>
      <c r="Q30" s="101">
        <f t="shared" si="2"/>
        <v>0.15501157407407407</v>
      </c>
      <c r="R30" s="111"/>
      <c r="S30" s="96" t="s">
        <v>340</v>
      </c>
      <c r="T30" s="101">
        <v>0.29096064814814815</v>
      </c>
      <c r="U30" s="101">
        <v>0.80245370370370372</v>
      </c>
      <c r="V30" s="101">
        <f t="shared" si="10"/>
        <v>0.48850694444444442</v>
      </c>
      <c r="W30" s="101">
        <f t="shared" si="11"/>
        <v>0.19754629629629628</v>
      </c>
      <c r="X30" s="115">
        <f t="shared" si="12"/>
        <v>0.29096064814814815</v>
      </c>
      <c r="Y30" s="115">
        <f t="shared" si="13"/>
        <v>0.32254629629629628</v>
      </c>
      <c r="Z30" s="101">
        <f t="shared" si="14"/>
        <v>0.16596064814814815</v>
      </c>
      <c r="AA30" s="111"/>
      <c r="AB30" s="117" t="s">
        <v>341</v>
      </c>
      <c r="AC30" s="101">
        <v>0.2570601851851852</v>
      </c>
      <c r="AD30" s="101">
        <v>0.82490740740740742</v>
      </c>
      <c r="AE30" s="101">
        <f t="shared" si="15"/>
        <v>0.43215277777777777</v>
      </c>
      <c r="AF30" s="101">
        <f t="shared" si="16"/>
        <v>0.17509259259259258</v>
      </c>
      <c r="AG30" s="115">
        <f t="shared" si="17"/>
        <v>0.2570601851851852</v>
      </c>
      <c r="AH30" s="115">
        <f t="shared" si="18"/>
        <v>0.30009259259259258</v>
      </c>
      <c r="AI30" s="101">
        <f t="shared" si="19"/>
        <v>0.1320601851851852</v>
      </c>
    </row>
    <row r="31" spans="1:35">
      <c r="A31" s="96" t="s">
        <v>342</v>
      </c>
      <c r="B31" s="111">
        <v>0.30336805555555557</v>
      </c>
      <c r="C31" s="111">
        <v>0.71417824074074077</v>
      </c>
      <c r="D31" s="111">
        <f t="shared" si="3"/>
        <v>0.58918981481481481</v>
      </c>
      <c r="E31" s="112">
        <f t="shared" si="4"/>
        <v>0.28582175925925923</v>
      </c>
      <c r="F31" s="113">
        <f t="shared" si="5"/>
        <v>0.30336805555555557</v>
      </c>
      <c r="G31" s="114">
        <f t="shared" si="6"/>
        <v>0.41082175925925923</v>
      </c>
      <c r="H31" s="111">
        <f t="shared" si="7"/>
        <v>0.17836805555555557</v>
      </c>
      <c r="I31" s="111"/>
      <c r="J31" s="102" t="s">
        <v>343</v>
      </c>
      <c r="K31" s="101">
        <v>0.27900462962962963</v>
      </c>
      <c r="L31" s="101">
        <v>0.74020833333333336</v>
      </c>
      <c r="M31" s="101">
        <f t="shared" si="8"/>
        <v>0.53879629629629622</v>
      </c>
      <c r="N31" s="101">
        <f t="shared" si="0"/>
        <v>0.25979166666666664</v>
      </c>
      <c r="O31" s="115">
        <f t="shared" si="9"/>
        <v>0.27900462962962963</v>
      </c>
      <c r="P31" s="115">
        <f t="shared" si="1"/>
        <v>0.38479166666666664</v>
      </c>
      <c r="Q31" s="101">
        <f t="shared" si="2"/>
        <v>0.15400462962962963</v>
      </c>
      <c r="R31" s="111"/>
      <c r="S31" s="96" t="s">
        <v>343</v>
      </c>
      <c r="T31" s="101">
        <v>0.2898148148148148</v>
      </c>
      <c r="U31" s="101">
        <v>0.80318287037037039</v>
      </c>
      <c r="V31" s="101">
        <f t="shared" si="10"/>
        <v>0.48663194444444441</v>
      </c>
      <c r="W31" s="101">
        <f t="shared" si="11"/>
        <v>0.19681712962962961</v>
      </c>
      <c r="X31" s="115">
        <f t="shared" si="12"/>
        <v>0.2898148148148148</v>
      </c>
      <c r="Y31" s="115">
        <f t="shared" si="13"/>
        <v>0.32181712962962961</v>
      </c>
      <c r="Z31" s="101">
        <f t="shared" si="14"/>
        <v>0.1648148148148148</v>
      </c>
      <c r="AA31" s="111"/>
      <c r="AB31" s="102" t="s">
        <v>344</v>
      </c>
      <c r="AC31" s="101">
        <v>0.25608796296296293</v>
      </c>
      <c r="AD31" s="101">
        <v>0.82563657407407398</v>
      </c>
      <c r="AE31" s="101">
        <f t="shared" si="15"/>
        <v>0.43045138888888895</v>
      </c>
      <c r="AF31" s="101">
        <f t="shared" si="16"/>
        <v>0.17436342592592602</v>
      </c>
      <c r="AG31" s="115">
        <f t="shared" si="17"/>
        <v>0.25608796296296293</v>
      </c>
      <c r="AH31" s="115">
        <f t="shared" si="18"/>
        <v>0.29936342592592602</v>
      </c>
      <c r="AI31" s="101">
        <f t="shared" si="19"/>
        <v>0.13108796296296293</v>
      </c>
    </row>
    <row r="32" spans="1:35">
      <c r="A32" s="96" t="s">
        <v>345</v>
      </c>
      <c r="B32" s="111">
        <v>0.30285879629629631</v>
      </c>
      <c r="C32" s="111">
        <v>0.71502314814814805</v>
      </c>
      <c r="D32" s="111">
        <f t="shared" si="3"/>
        <v>0.58783564814814826</v>
      </c>
      <c r="E32" s="112">
        <f t="shared" si="4"/>
        <v>0.28497685185185195</v>
      </c>
      <c r="F32" s="113">
        <f t="shared" si="5"/>
        <v>0.30285879629629631</v>
      </c>
      <c r="G32" s="114">
        <f t="shared" si="6"/>
        <v>0.40997685185185195</v>
      </c>
      <c r="H32" s="111">
        <f t="shared" si="7"/>
        <v>0.17785879629629631</v>
      </c>
      <c r="I32" s="111"/>
      <c r="J32" s="102" t="s">
        <v>346</v>
      </c>
      <c r="K32" s="101">
        <v>0.2779861111111111</v>
      </c>
      <c r="L32" s="101">
        <v>0.74100694444444448</v>
      </c>
      <c r="M32" s="101">
        <f t="shared" si="8"/>
        <v>0.53697916666666656</v>
      </c>
      <c r="N32" s="101">
        <f t="shared" si="0"/>
        <v>0.25899305555555552</v>
      </c>
      <c r="O32" s="115">
        <f t="shared" si="9"/>
        <v>0.2779861111111111</v>
      </c>
      <c r="P32" s="115">
        <f t="shared" si="1"/>
        <v>0.38399305555555552</v>
      </c>
      <c r="Q32" s="101">
        <f t="shared" si="2"/>
        <v>0.1529861111111111</v>
      </c>
      <c r="R32" s="111"/>
      <c r="S32" s="96" t="s">
        <v>346</v>
      </c>
      <c r="T32" s="101">
        <v>0.28866898148148151</v>
      </c>
      <c r="U32" s="101">
        <v>0.80391203703703706</v>
      </c>
      <c r="V32" s="101">
        <f t="shared" si="10"/>
        <v>0.48475694444444445</v>
      </c>
      <c r="W32" s="101">
        <f t="shared" si="11"/>
        <v>0.19608796296296294</v>
      </c>
      <c r="X32" s="115">
        <f t="shared" si="12"/>
        <v>0.28866898148148151</v>
      </c>
      <c r="Y32" s="115">
        <f t="shared" si="13"/>
        <v>0.32108796296296294</v>
      </c>
      <c r="Z32" s="101">
        <f t="shared" si="14"/>
        <v>0.16366898148148151</v>
      </c>
      <c r="AA32" s="111"/>
      <c r="AB32" s="102" t="s">
        <v>347</v>
      </c>
      <c r="AC32" s="101">
        <v>0.25511574074074073</v>
      </c>
      <c r="AD32" s="101">
        <v>0.82635416666666661</v>
      </c>
      <c r="AE32" s="101">
        <f t="shared" si="15"/>
        <v>0.42876157407407411</v>
      </c>
      <c r="AF32" s="101">
        <f t="shared" si="16"/>
        <v>0.17364583333333339</v>
      </c>
      <c r="AG32" s="115">
        <f t="shared" si="17"/>
        <v>0.25511574074074073</v>
      </c>
      <c r="AH32" s="115">
        <f t="shared" si="18"/>
        <v>0.29864583333333339</v>
      </c>
      <c r="AI32" s="101">
        <f t="shared" si="19"/>
        <v>0.13011574074074073</v>
      </c>
    </row>
    <row r="33" spans="1:40">
      <c r="A33" s="96" t="s">
        <v>348</v>
      </c>
      <c r="B33" s="111">
        <v>0.30232638888888891</v>
      </c>
      <c r="C33" s="111">
        <v>0.71585648148148151</v>
      </c>
      <c r="D33" s="111">
        <f t="shared" si="3"/>
        <v>0.58646990740740734</v>
      </c>
      <c r="E33" s="112">
        <f t="shared" si="4"/>
        <v>0.28414351851851849</v>
      </c>
      <c r="F33" s="113">
        <f t="shared" si="5"/>
        <v>0.30232638888888891</v>
      </c>
      <c r="G33" s="114">
        <f t="shared" si="6"/>
        <v>0.40914351851851849</v>
      </c>
      <c r="H33" s="111">
        <f t="shared" si="7"/>
        <v>0.17732638888888891</v>
      </c>
      <c r="I33" s="111"/>
      <c r="J33" s="117" t="s">
        <v>349</v>
      </c>
      <c r="K33" s="101">
        <v>0.27696759259259257</v>
      </c>
      <c r="L33" s="101">
        <v>0.74180555555555561</v>
      </c>
      <c r="M33" s="101">
        <f t="shared" si="8"/>
        <v>0.53516203703703691</v>
      </c>
      <c r="N33" s="101">
        <f t="shared" si="0"/>
        <v>0.25819444444444439</v>
      </c>
      <c r="O33" s="115">
        <f t="shared" si="9"/>
        <v>0.27696759259259257</v>
      </c>
      <c r="P33" s="115">
        <f t="shared" si="1"/>
        <v>0.38319444444444439</v>
      </c>
      <c r="Q33" s="101">
        <f t="shared" si="2"/>
        <v>0.15196759259259257</v>
      </c>
      <c r="R33" s="111"/>
      <c r="S33" s="110" t="s">
        <v>349</v>
      </c>
      <c r="T33" s="101">
        <v>0.28752314814814817</v>
      </c>
      <c r="U33" s="101">
        <v>0.80464120370370373</v>
      </c>
      <c r="V33" s="101">
        <f t="shared" si="10"/>
        <v>0.48288194444444443</v>
      </c>
      <c r="W33" s="101">
        <f t="shared" si="11"/>
        <v>0.19535879629629627</v>
      </c>
      <c r="X33" s="115">
        <f t="shared" si="12"/>
        <v>0.28752314814814817</v>
      </c>
      <c r="Y33" s="115">
        <f t="shared" si="13"/>
        <v>0.32035879629629627</v>
      </c>
      <c r="Z33" s="101">
        <f t="shared" si="14"/>
        <v>0.16252314814814817</v>
      </c>
      <c r="AA33" s="111"/>
      <c r="AB33" s="102" t="s">
        <v>350</v>
      </c>
      <c r="AC33" s="101">
        <v>0.25416666666666665</v>
      </c>
      <c r="AD33" s="101">
        <v>0.82708333333333339</v>
      </c>
      <c r="AE33" s="101">
        <f t="shared" si="15"/>
        <v>0.42708333333333326</v>
      </c>
      <c r="AF33" s="101">
        <f t="shared" si="16"/>
        <v>0.17291666666666661</v>
      </c>
      <c r="AG33" s="115">
        <f t="shared" si="17"/>
        <v>0.25416666666666665</v>
      </c>
      <c r="AH33" s="115">
        <f t="shared" si="18"/>
        <v>0.29791666666666661</v>
      </c>
      <c r="AI33" s="101">
        <f t="shared" si="19"/>
        <v>0.12916666666666665</v>
      </c>
    </row>
    <row r="34" spans="1:40">
      <c r="A34" s="96" t="s">
        <v>351</v>
      </c>
      <c r="B34" s="111">
        <v>0.30178240740740742</v>
      </c>
      <c r="C34" s="111">
        <v>0.71670138888888879</v>
      </c>
      <c r="D34" s="111">
        <f t="shared" si="3"/>
        <v>0.58508101851851868</v>
      </c>
      <c r="E34" s="112">
        <f t="shared" si="4"/>
        <v>0.28329861111111121</v>
      </c>
      <c r="F34" s="113">
        <f t="shared" si="5"/>
        <v>0.30178240740740742</v>
      </c>
      <c r="G34" s="114">
        <f t="shared" si="6"/>
        <v>0.40829861111111121</v>
      </c>
      <c r="H34" s="111">
        <f t="shared" si="7"/>
        <v>0.17678240740740742</v>
      </c>
      <c r="I34" s="111"/>
      <c r="J34" s="102" t="s">
        <v>352</v>
      </c>
      <c r="K34" s="101">
        <v>0.27592592592592591</v>
      </c>
      <c r="L34" s="101">
        <v>0.74260416666666673</v>
      </c>
      <c r="M34" s="101">
        <f t="shared" si="8"/>
        <v>0.53332175925925918</v>
      </c>
      <c r="N34" s="101">
        <f t="shared" si="0"/>
        <v>0.25739583333333327</v>
      </c>
      <c r="O34" s="115">
        <f t="shared" si="9"/>
        <v>0.27592592592592591</v>
      </c>
      <c r="P34" s="115">
        <f t="shared" si="1"/>
        <v>0.38239583333333327</v>
      </c>
      <c r="Q34" s="101">
        <f t="shared" si="2"/>
        <v>0.15092592592592591</v>
      </c>
      <c r="R34" s="111"/>
      <c r="S34" s="96" t="s">
        <v>352</v>
      </c>
      <c r="T34" s="101">
        <v>0.28637731481481482</v>
      </c>
      <c r="U34" s="101">
        <v>0.80535879629629636</v>
      </c>
      <c r="V34" s="101">
        <f t="shared" si="10"/>
        <v>0.48101851851851846</v>
      </c>
      <c r="W34" s="101">
        <f t="shared" si="11"/>
        <v>0.19464120370370364</v>
      </c>
      <c r="X34" s="115">
        <f t="shared" si="12"/>
        <v>0.28637731481481482</v>
      </c>
      <c r="Y34" s="115">
        <f t="shared" si="13"/>
        <v>0.31964120370370364</v>
      </c>
      <c r="Z34" s="101">
        <f t="shared" si="14"/>
        <v>0.16137731481481482</v>
      </c>
      <c r="AA34" s="111"/>
      <c r="AB34" s="102" t="s">
        <v>353</v>
      </c>
      <c r="AC34" s="101">
        <v>0.25321759259259258</v>
      </c>
      <c r="AD34" s="101">
        <v>0.82780092592592591</v>
      </c>
      <c r="AE34" s="101">
        <f t="shared" si="15"/>
        <v>0.42541666666666667</v>
      </c>
      <c r="AF34" s="101">
        <f t="shared" si="16"/>
        <v>0.17219907407407409</v>
      </c>
      <c r="AG34" s="115">
        <f t="shared" si="17"/>
        <v>0.25321759259259258</v>
      </c>
      <c r="AH34" s="115">
        <f t="shared" si="18"/>
        <v>0.29719907407407409</v>
      </c>
      <c r="AI34" s="101">
        <f t="shared" si="19"/>
        <v>0.12821759259259258</v>
      </c>
    </row>
    <row r="35" spans="1:40">
      <c r="A35" s="96" t="s">
        <v>354</v>
      </c>
      <c r="B35" s="111">
        <v>0.3012037037037037</v>
      </c>
      <c r="C35" s="111">
        <v>0.71754629629629629</v>
      </c>
      <c r="D35" s="111">
        <f t="shared" si="3"/>
        <v>0.58365740740740746</v>
      </c>
      <c r="E35" s="112">
        <f t="shared" si="4"/>
        <v>0.28245370370370371</v>
      </c>
      <c r="F35" s="113">
        <f t="shared" si="5"/>
        <v>0.3012037037037037</v>
      </c>
      <c r="G35" s="114">
        <f t="shared" si="6"/>
        <v>0.40745370370370371</v>
      </c>
      <c r="H35" s="111">
        <f t="shared" si="7"/>
        <v>0.1762037037037037</v>
      </c>
      <c r="I35" s="111"/>
      <c r="J35" s="119" t="s">
        <v>355</v>
      </c>
      <c r="K35" s="120">
        <v>0.27488425925925924</v>
      </c>
      <c r="L35" s="120">
        <v>0.74339120370370371</v>
      </c>
      <c r="M35" s="120">
        <f t="shared" si="8"/>
        <v>0.53149305555555548</v>
      </c>
      <c r="N35" s="120">
        <f t="shared" si="0"/>
        <v>0.25660879629629629</v>
      </c>
      <c r="O35" s="115">
        <f t="shared" si="9"/>
        <v>0.27488425925925924</v>
      </c>
      <c r="P35" s="121">
        <f t="shared" si="1"/>
        <v>0.38160879629629629</v>
      </c>
      <c r="Q35" s="120">
        <f t="shared" si="2"/>
        <v>0.14988425925925924</v>
      </c>
      <c r="R35" s="111"/>
      <c r="S35" s="96" t="s">
        <v>355</v>
      </c>
      <c r="T35" s="101">
        <v>0.28523148148148147</v>
      </c>
      <c r="U35" s="101">
        <v>0.80608796296296292</v>
      </c>
      <c r="V35" s="101">
        <f t="shared" si="10"/>
        <v>0.47914351851851855</v>
      </c>
      <c r="W35" s="101">
        <f t="shared" si="11"/>
        <v>0.19391203703703708</v>
      </c>
      <c r="X35" s="115">
        <f t="shared" si="12"/>
        <v>0.28523148148148147</v>
      </c>
      <c r="Y35" s="115">
        <f t="shared" si="13"/>
        <v>0.31891203703703708</v>
      </c>
      <c r="Z35" s="101">
        <f t="shared" si="14"/>
        <v>0.16023148148148147</v>
      </c>
      <c r="AA35" s="111"/>
      <c r="AB35" s="102" t="s">
        <v>356</v>
      </c>
      <c r="AC35" s="101">
        <v>0.25229166666666664</v>
      </c>
      <c r="AD35" s="101">
        <v>0.82853009259259258</v>
      </c>
      <c r="AE35" s="101">
        <f t="shared" si="15"/>
        <v>0.42376157407407405</v>
      </c>
      <c r="AF35" s="101">
        <f t="shared" si="16"/>
        <v>0.17146990740740742</v>
      </c>
      <c r="AG35" s="115">
        <f t="shared" si="17"/>
        <v>0.25229166666666664</v>
      </c>
      <c r="AH35" s="115">
        <f t="shared" si="18"/>
        <v>0.29646990740740742</v>
      </c>
      <c r="AI35" s="101">
        <f t="shared" si="19"/>
        <v>0.12729166666666664</v>
      </c>
    </row>
    <row r="36" spans="1:40">
      <c r="A36" s="110" t="s">
        <v>357</v>
      </c>
      <c r="B36" s="111">
        <v>0.30060185185185184</v>
      </c>
      <c r="C36" s="111">
        <v>0.71840277777777783</v>
      </c>
      <c r="D36" s="111">
        <f t="shared" si="3"/>
        <v>0.58219907407407401</v>
      </c>
      <c r="E36" s="112">
        <f t="shared" si="4"/>
        <v>0.28159722222222217</v>
      </c>
      <c r="F36" s="113">
        <f t="shared" si="5"/>
        <v>0.30060185185185184</v>
      </c>
      <c r="G36" s="114">
        <f t="shared" si="6"/>
        <v>0.40659722222222217</v>
      </c>
      <c r="H36" s="111">
        <f t="shared" si="7"/>
        <v>0.17560185185185184</v>
      </c>
      <c r="I36" s="111"/>
      <c r="J36" s="102"/>
      <c r="K36" s="97"/>
      <c r="L36" s="98" t="s">
        <v>104</v>
      </c>
      <c r="M36" s="122">
        <f>SUM(M8:M35)</f>
        <v>15.548136574074073</v>
      </c>
      <c r="N36" s="122">
        <f>SUM(N8:N35)</f>
        <v>7.4949421296296279</v>
      </c>
      <c r="O36" s="122">
        <f>SUM(O8:O35)</f>
        <v>8.0531944444444434</v>
      </c>
      <c r="P36" s="122">
        <f>SUM(P8:P35)</f>
        <v>10.99494212962963</v>
      </c>
      <c r="Q36" s="122">
        <f>SUM(Q5:Q35)</f>
        <v>4.5531944444444452</v>
      </c>
      <c r="R36" s="111"/>
      <c r="S36" s="96" t="s">
        <v>358</v>
      </c>
      <c r="T36" s="101">
        <v>0.28408564814814813</v>
      </c>
      <c r="U36" s="101">
        <v>0.8068171296296297</v>
      </c>
      <c r="V36" s="101">
        <f t="shared" si="10"/>
        <v>0.47726851851851843</v>
      </c>
      <c r="W36" s="101">
        <f t="shared" si="11"/>
        <v>0.1931828703703703</v>
      </c>
      <c r="X36" s="115">
        <f t="shared" si="12"/>
        <v>0.28408564814814813</v>
      </c>
      <c r="Y36" s="115">
        <f t="shared" si="13"/>
        <v>0.3181828703703703</v>
      </c>
      <c r="Z36" s="101">
        <f t="shared" si="14"/>
        <v>0.15908564814814813</v>
      </c>
      <c r="AA36" s="111"/>
      <c r="AB36" s="102" t="s">
        <v>359</v>
      </c>
      <c r="AC36" s="101">
        <v>0.25136574074074075</v>
      </c>
      <c r="AD36" s="101">
        <v>0.82924768518518521</v>
      </c>
      <c r="AE36" s="101">
        <f t="shared" si="15"/>
        <v>0.42211805555555554</v>
      </c>
      <c r="AF36" s="101">
        <f t="shared" si="16"/>
        <v>0.17075231481481479</v>
      </c>
      <c r="AG36" s="115">
        <f t="shared" si="17"/>
        <v>0.25136574074074075</v>
      </c>
      <c r="AH36" s="115">
        <f t="shared" si="18"/>
        <v>0.29575231481481479</v>
      </c>
      <c r="AI36" s="101">
        <f t="shared" si="19"/>
        <v>0.12636574074074075</v>
      </c>
    </row>
    <row r="37" spans="1:40">
      <c r="A37" s="96" t="s">
        <v>360</v>
      </c>
      <c r="B37" s="111">
        <v>0.29998842592592595</v>
      </c>
      <c r="C37" s="111">
        <v>0.71924768518518523</v>
      </c>
      <c r="D37" s="111">
        <f t="shared" si="3"/>
        <v>0.58074074074074078</v>
      </c>
      <c r="E37" s="112">
        <f t="shared" si="4"/>
        <v>0.28075231481481477</v>
      </c>
      <c r="F37" s="113">
        <f t="shared" si="5"/>
        <v>0.29998842592592595</v>
      </c>
      <c r="G37" s="114">
        <f t="shared" si="6"/>
        <v>0.40575231481481477</v>
      </c>
      <c r="H37" s="111">
        <f t="shared" si="7"/>
        <v>0.17498842592592595</v>
      </c>
      <c r="I37" s="111"/>
      <c r="J37" s="102"/>
      <c r="K37" s="97"/>
      <c r="L37" s="97"/>
      <c r="M37" s="101"/>
      <c r="N37" s="101"/>
      <c r="O37" s="115"/>
      <c r="P37" s="115"/>
      <c r="Q37" s="101"/>
      <c r="R37" s="111"/>
      <c r="S37" s="96" t="s">
        <v>361</v>
      </c>
      <c r="T37" s="101">
        <v>0.28295138888888888</v>
      </c>
      <c r="U37" s="101">
        <v>0.80753472222222233</v>
      </c>
      <c r="V37" s="101">
        <f t="shared" si="10"/>
        <v>0.47541666666666654</v>
      </c>
      <c r="W37" s="101">
        <f t="shared" si="11"/>
        <v>0.19246527777777767</v>
      </c>
      <c r="X37" s="115">
        <f t="shared" si="12"/>
        <v>0.28295138888888888</v>
      </c>
      <c r="Y37" s="115">
        <f t="shared" si="13"/>
        <v>0.31746527777777767</v>
      </c>
      <c r="Z37" s="101">
        <f t="shared" si="14"/>
        <v>0.15795138888888888</v>
      </c>
      <c r="AA37" s="111"/>
      <c r="AB37" s="123" t="s">
        <v>362</v>
      </c>
      <c r="AC37" s="120">
        <v>0.25046296296296294</v>
      </c>
      <c r="AD37" s="120">
        <v>0.82996527777777773</v>
      </c>
      <c r="AE37" s="120">
        <f t="shared" si="15"/>
        <v>0.42049768518518521</v>
      </c>
      <c r="AF37" s="120">
        <f t="shared" si="16"/>
        <v>0.17003472222222227</v>
      </c>
      <c r="AG37" s="115">
        <f t="shared" si="17"/>
        <v>0.25046296296296294</v>
      </c>
      <c r="AH37" s="121">
        <f t="shared" si="18"/>
        <v>0.29503472222222227</v>
      </c>
      <c r="AI37" s="120">
        <f t="shared" si="19"/>
        <v>0.12546296296296294</v>
      </c>
    </row>
    <row r="38" spans="1:40">
      <c r="A38" s="124" t="s">
        <v>363</v>
      </c>
      <c r="B38" s="125">
        <v>0.29935185185185187</v>
      </c>
      <c r="C38" s="125">
        <v>0.72010416666666666</v>
      </c>
      <c r="D38" s="125">
        <f t="shared" si="3"/>
        <v>0.57924768518518521</v>
      </c>
      <c r="E38" s="126">
        <f t="shared" si="4"/>
        <v>0.27989583333333334</v>
      </c>
      <c r="F38" s="113">
        <f t="shared" si="5"/>
        <v>0.29935185185185187</v>
      </c>
      <c r="G38" s="127">
        <f t="shared" si="6"/>
        <v>0.40489583333333334</v>
      </c>
      <c r="H38" s="125">
        <f t="shared" si="7"/>
        <v>0.17435185185185187</v>
      </c>
      <c r="I38" s="111"/>
      <c r="J38" s="102"/>
      <c r="K38" s="97"/>
      <c r="L38" s="97"/>
      <c r="M38" s="101"/>
      <c r="N38" s="101"/>
      <c r="O38" s="115"/>
      <c r="P38" s="115"/>
      <c r="Q38" s="101"/>
      <c r="R38" s="111"/>
      <c r="S38" s="124" t="s">
        <v>364</v>
      </c>
      <c r="T38" s="120">
        <v>0.28181712962962963</v>
      </c>
      <c r="U38" s="120">
        <v>0.80826388888888889</v>
      </c>
      <c r="V38" s="120">
        <f t="shared" si="10"/>
        <v>0.47355324074074073</v>
      </c>
      <c r="W38" s="120">
        <f t="shared" si="11"/>
        <v>0.19173611111111111</v>
      </c>
      <c r="X38" s="115">
        <f t="shared" si="12"/>
        <v>0.28181712962962963</v>
      </c>
      <c r="Y38" s="121">
        <f t="shared" si="13"/>
        <v>0.31673611111111111</v>
      </c>
      <c r="Z38" s="120">
        <f t="shared" si="14"/>
        <v>0.15681712962962963</v>
      </c>
      <c r="AA38" s="111"/>
      <c r="AB38" s="102"/>
      <c r="AC38" s="97"/>
      <c r="AD38" s="98" t="s">
        <v>104</v>
      </c>
      <c r="AE38" s="122">
        <f>SUM(AE8:AE37)</f>
        <v>13.366296296296298</v>
      </c>
      <c r="AF38" s="122">
        <f>SUM(AF8:AF37)</f>
        <v>5.4156712962962956</v>
      </c>
      <c r="AG38" s="122">
        <f>SUM(AG8:AG37)</f>
        <v>7.9506249999999996</v>
      </c>
      <c r="AH38" s="122">
        <f>SUM(AH8:AH37)</f>
        <v>9.1656712962962974</v>
      </c>
      <c r="AI38" s="122">
        <f>SUM(AI8:AI37)</f>
        <v>4.2006250000000005</v>
      </c>
    </row>
    <row r="39" spans="1:40">
      <c r="A39" s="96"/>
      <c r="B39" s="96"/>
      <c r="C39" s="128" t="s">
        <v>104</v>
      </c>
      <c r="D39" s="129">
        <f>SUM(D8:D38)</f>
        <v>18.525196759259252</v>
      </c>
      <c r="E39" s="129">
        <f>SUM(E8:E38)</f>
        <v>9.0511226851851863</v>
      </c>
      <c r="F39" s="129">
        <f>SUM(F8:F38)</f>
        <v>9.4740740740740748</v>
      </c>
      <c r="G39" s="129">
        <f>SUM(G8:G38)</f>
        <v>12.926122685185186</v>
      </c>
      <c r="H39" s="129">
        <f>SUM(H8:H38)</f>
        <v>5.599074074074073</v>
      </c>
      <c r="I39" s="96"/>
      <c r="J39" s="102"/>
      <c r="K39" s="97"/>
      <c r="L39" s="97"/>
      <c r="M39" s="98"/>
      <c r="N39" s="97"/>
      <c r="O39" s="97"/>
      <c r="P39" s="100"/>
      <c r="Q39" s="97"/>
      <c r="R39" s="96"/>
      <c r="S39" s="96"/>
      <c r="T39" s="97"/>
      <c r="U39" s="98" t="s">
        <v>104</v>
      </c>
      <c r="V39" s="122">
        <f>SUM(V8:V38)</f>
        <v>15.550983796296293</v>
      </c>
      <c r="W39" s="122">
        <f>SUM(W8:W38)</f>
        <v>6.7448611111111134</v>
      </c>
      <c r="X39" s="122">
        <f>SUM(X8:X38)</f>
        <v>8.806122685185187</v>
      </c>
      <c r="Y39" s="122">
        <f>SUM(Y8:Y38)</f>
        <v>10.619861111111113</v>
      </c>
      <c r="Z39" s="122">
        <f>SUM(Z8:Z38)</f>
        <v>4.9311226851851853</v>
      </c>
      <c r="AA39" s="96"/>
    </row>
    <row r="40" spans="1:40">
      <c r="A40" s="96"/>
      <c r="B40" s="96"/>
      <c r="C40" s="96"/>
      <c r="D40" s="96"/>
      <c r="E40" s="96"/>
      <c r="F40" s="96"/>
      <c r="G40" s="96"/>
      <c r="H40" s="96"/>
      <c r="I40" s="96"/>
      <c r="J40" s="102"/>
      <c r="K40" s="97"/>
      <c r="L40" s="97"/>
      <c r="M40" s="97"/>
      <c r="N40" s="97"/>
      <c r="O40" s="97"/>
      <c r="P40" s="97"/>
      <c r="Q40" s="97"/>
      <c r="R40" s="96"/>
      <c r="S40" s="96"/>
      <c r="T40" s="97"/>
      <c r="U40" s="97"/>
      <c r="V40" s="97"/>
      <c r="W40" s="97"/>
      <c r="X40" s="97"/>
      <c r="Y40" s="97"/>
      <c r="Z40" s="97"/>
      <c r="AA40" s="96"/>
    </row>
    <row r="41" spans="1:40">
      <c r="A41" s="96"/>
      <c r="B41" s="96"/>
      <c r="C41" s="96"/>
      <c r="D41" s="96"/>
      <c r="E41" s="96"/>
      <c r="F41" s="96"/>
      <c r="G41" s="96"/>
      <c r="H41" s="96"/>
      <c r="I41" s="96"/>
      <c r="J41" s="102"/>
      <c r="K41" s="97"/>
      <c r="L41" s="97"/>
      <c r="M41" s="97"/>
      <c r="N41" s="97"/>
      <c r="O41" s="97"/>
      <c r="P41" s="97"/>
      <c r="Q41" s="97"/>
      <c r="R41" s="96"/>
      <c r="S41" s="96"/>
      <c r="T41" s="97"/>
      <c r="U41" s="97"/>
      <c r="V41" s="97"/>
      <c r="W41" s="97"/>
      <c r="X41" s="97"/>
      <c r="Y41" s="97"/>
      <c r="Z41" s="97"/>
      <c r="AA41" s="96"/>
    </row>
    <row r="42" spans="1:40" ht="30">
      <c r="A42" s="575">
        <v>45047</v>
      </c>
      <c r="B42" s="575"/>
      <c r="C42" s="575"/>
      <c r="D42" s="103" t="s">
        <v>265</v>
      </c>
      <c r="E42" s="104" t="s">
        <v>266</v>
      </c>
      <c r="F42" s="104" t="s">
        <v>267</v>
      </c>
      <c r="G42" s="104" t="s">
        <v>268</v>
      </c>
      <c r="H42" s="104" t="s">
        <v>269</v>
      </c>
      <c r="I42" s="105"/>
      <c r="J42" s="575">
        <v>45078</v>
      </c>
      <c r="K42" s="575"/>
      <c r="L42" s="575"/>
      <c r="M42" s="103" t="s">
        <v>265</v>
      </c>
      <c r="N42" s="104" t="s">
        <v>266</v>
      </c>
      <c r="O42" s="104" t="s">
        <v>267</v>
      </c>
      <c r="P42" s="104" t="s">
        <v>268</v>
      </c>
      <c r="Q42" s="104" t="s">
        <v>269</v>
      </c>
      <c r="R42" s="105"/>
      <c r="S42" s="575">
        <v>45108</v>
      </c>
      <c r="T42" s="575"/>
      <c r="U42" s="575"/>
      <c r="V42" s="103" t="s">
        <v>265</v>
      </c>
      <c r="W42" s="104" t="s">
        <v>266</v>
      </c>
      <c r="X42" s="104" t="s">
        <v>267</v>
      </c>
      <c r="Y42" s="104" t="s">
        <v>268</v>
      </c>
      <c r="Z42" s="104" t="s">
        <v>269</v>
      </c>
      <c r="AA42" s="105"/>
      <c r="AB42" s="575">
        <v>45139</v>
      </c>
      <c r="AC42" s="575"/>
      <c r="AD42" s="575"/>
      <c r="AE42" s="103" t="s">
        <v>265</v>
      </c>
      <c r="AF42" s="104" t="s">
        <v>266</v>
      </c>
      <c r="AG42" s="104" t="s">
        <v>267</v>
      </c>
      <c r="AH42" s="104" t="s">
        <v>268</v>
      </c>
      <c r="AI42" s="104" t="s">
        <v>269</v>
      </c>
    </row>
    <row r="43" spans="1:40">
      <c r="A43" s="107" t="s">
        <v>270</v>
      </c>
      <c r="B43" s="107" t="s">
        <v>271</v>
      </c>
      <c r="C43" s="107" t="s">
        <v>272</v>
      </c>
      <c r="D43" s="107"/>
      <c r="E43" s="107"/>
      <c r="F43" s="107"/>
      <c r="G43" s="107"/>
      <c r="H43" s="107"/>
      <c r="I43" s="96"/>
      <c r="J43" s="108" t="s">
        <v>270</v>
      </c>
      <c r="K43" s="543" t="s">
        <v>271</v>
      </c>
      <c r="L43" s="543" t="s">
        <v>272</v>
      </c>
      <c r="M43" s="543"/>
      <c r="N43" s="543"/>
      <c r="O43" s="543"/>
      <c r="P43" s="543"/>
      <c r="Q43" s="543"/>
      <c r="R43" s="96"/>
      <c r="S43" s="107" t="s">
        <v>270</v>
      </c>
      <c r="T43" s="543" t="s">
        <v>271</v>
      </c>
      <c r="U43" s="543" t="s">
        <v>272</v>
      </c>
      <c r="V43" s="543"/>
      <c r="W43" s="543"/>
      <c r="X43" s="543"/>
      <c r="Y43" s="543"/>
      <c r="Z43" s="543"/>
      <c r="AA43" s="96"/>
      <c r="AB43" s="108" t="s">
        <v>270</v>
      </c>
      <c r="AC43" s="107" t="s">
        <v>271</v>
      </c>
      <c r="AD43" s="107" t="s">
        <v>272</v>
      </c>
      <c r="AE43" s="107"/>
      <c r="AF43" s="16"/>
      <c r="AG43" s="16"/>
      <c r="AH43" s="16"/>
      <c r="AI43" s="16"/>
    </row>
    <row r="44" spans="1:40">
      <c r="A44" s="96" t="s">
        <v>365</v>
      </c>
      <c r="B44" s="111">
        <v>0.24957175925925926</v>
      </c>
      <c r="C44" s="111">
        <v>0.83068287037037036</v>
      </c>
      <c r="D44" s="111">
        <f>E44+F44</f>
        <v>0.41888888888888887</v>
      </c>
      <c r="E44" s="112">
        <f>$W$3-C44</f>
        <v>0.16931712962962964</v>
      </c>
      <c r="F44" s="113">
        <f>B44</f>
        <v>0.24957175925925926</v>
      </c>
      <c r="G44" s="114">
        <f>E44+$X$3</f>
        <v>0.29431712962962964</v>
      </c>
      <c r="H44" s="111">
        <f>B44-$X$3</f>
        <v>0.12457175925925926</v>
      </c>
      <c r="I44" s="111"/>
      <c r="J44" s="102" t="s">
        <v>366</v>
      </c>
      <c r="K44" s="101">
        <v>0.23045138888888891</v>
      </c>
      <c r="L44" s="101">
        <v>0.85064814814814815</v>
      </c>
      <c r="M44" s="101">
        <f>N44+O44</f>
        <v>0.37980324074074079</v>
      </c>
      <c r="N44" s="101">
        <f t="shared" ref="N44:N73" si="20">$W$3-L44</f>
        <v>0.14935185185185185</v>
      </c>
      <c r="O44" s="115">
        <f>K44</f>
        <v>0.23045138888888891</v>
      </c>
      <c r="P44" s="115">
        <f t="shared" ref="P44:P73" si="21">N44+$X$3</f>
        <v>0.27435185185185185</v>
      </c>
      <c r="Q44" s="101">
        <f t="shared" ref="Q44:Q73" si="22">K44-$X$3</f>
        <v>0.10545138888888891</v>
      </c>
      <c r="R44" s="111"/>
      <c r="S44" s="96" t="s">
        <v>275</v>
      </c>
      <c r="T44" s="101">
        <v>0.23145833333333332</v>
      </c>
      <c r="U44" s="101">
        <v>0.85766203703703703</v>
      </c>
      <c r="V44" s="101">
        <f>W44+X44</f>
        <v>0.37379629629629629</v>
      </c>
      <c r="W44" s="101">
        <f>$W$3-U44</f>
        <v>0.14233796296296297</v>
      </c>
      <c r="X44" s="115">
        <f>T44</f>
        <v>0.23145833333333332</v>
      </c>
      <c r="Y44" s="115">
        <f>W44+$X$3</f>
        <v>0.26733796296296297</v>
      </c>
      <c r="Z44" s="101">
        <f>T44-$X$3</f>
        <v>0.10645833333333332</v>
      </c>
      <c r="AA44" s="111"/>
      <c r="AB44" s="102" t="s">
        <v>367</v>
      </c>
      <c r="AC44" s="111">
        <v>0.24807870370370369</v>
      </c>
      <c r="AD44" s="111">
        <v>0.84415509259259258</v>
      </c>
      <c r="AE44" s="111">
        <f>AF44+AG44</f>
        <v>0.40392361111111108</v>
      </c>
      <c r="AF44" s="112">
        <f>$W$3-AD44</f>
        <v>0.15584490740740742</v>
      </c>
      <c r="AG44" s="113">
        <f>AC44</f>
        <v>0.24807870370370369</v>
      </c>
      <c r="AH44" s="114">
        <f>AF44+$X$3</f>
        <v>0.28084490740740742</v>
      </c>
      <c r="AI44" s="111">
        <f>AC44-$X$3</f>
        <v>0.12307870370370369</v>
      </c>
    </row>
    <row r="45" spans="1:40">
      <c r="A45" s="96" t="s">
        <v>368</v>
      </c>
      <c r="B45" s="111">
        <v>0.24869212962962961</v>
      </c>
      <c r="C45" s="111">
        <v>0.83140046296296299</v>
      </c>
      <c r="D45" s="111">
        <f t="shared" ref="D45:D74" si="23">E45+F45</f>
        <v>0.41729166666666662</v>
      </c>
      <c r="E45" s="112">
        <f t="shared" ref="E45:E74" si="24">$W$3-C45</f>
        <v>0.16859953703703701</v>
      </c>
      <c r="F45" s="113">
        <f t="shared" ref="F45:F74" si="25">B45</f>
        <v>0.24869212962962961</v>
      </c>
      <c r="G45" s="114">
        <f t="shared" ref="G45:G74" si="26">E45+$X$3</f>
        <v>0.29359953703703701</v>
      </c>
      <c r="H45" s="111">
        <f t="shared" ref="H45:H74" si="27">B45-$X$3</f>
        <v>0.12369212962962961</v>
      </c>
      <c r="I45" s="111"/>
      <c r="J45" s="102" t="s">
        <v>369</v>
      </c>
      <c r="K45" s="101">
        <v>0.23016203703703705</v>
      </c>
      <c r="L45" s="101">
        <v>0.85114583333333327</v>
      </c>
      <c r="M45" s="101">
        <f t="shared" ref="M45:M73" si="28">N45+O45</f>
        <v>0.37901620370370381</v>
      </c>
      <c r="N45" s="101">
        <f t="shared" si="20"/>
        <v>0.14885416666666673</v>
      </c>
      <c r="O45" s="115">
        <f t="shared" ref="O45:O73" si="29">K45</f>
        <v>0.23016203703703705</v>
      </c>
      <c r="P45" s="115">
        <f t="shared" si="21"/>
        <v>0.27385416666666673</v>
      </c>
      <c r="Q45" s="101">
        <f t="shared" si="22"/>
        <v>0.10516203703703705</v>
      </c>
      <c r="R45" s="111"/>
      <c r="S45" s="110" t="s">
        <v>278</v>
      </c>
      <c r="T45" s="101">
        <v>0.23180555555555557</v>
      </c>
      <c r="U45" s="101">
        <v>0.85755787037037035</v>
      </c>
      <c r="V45" s="101">
        <f t="shared" ref="V45:V74" si="30">W45+X45</f>
        <v>0.37424768518518525</v>
      </c>
      <c r="W45" s="101">
        <f t="shared" ref="W45:W74" si="31">$W$3-U45</f>
        <v>0.14244212962962965</v>
      </c>
      <c r="X45" s="115">
        <f t="shared" ref="X45:X74" si="32">T45</f>
        <v>0.23180555555555557</v>
      </c>
      <c r="Y45" s="115">
        <f t="shared" ref="Y45:Y74" si="33">W45+$X$3</f>
        <v>0.26744212962962965</v>
      </c>
      <c r="Z45" s="101">
        <f t="shared" ref="Z45:Z74" si="34">T45-$X$3</f>
        <v>0.10680555555555557</v>
      </c>
      <c r="AA45" s="111"/>
      <c r="AB45" s="102" t="s">
        <v>370</v>
      </c>
      <c r="AC45" s="111">
        <v>0.2487384259259259</v>
      </c>
      <c r="AD45" s="111">
        <v>0.84339120370370368</v>
      </c>
      <c r="AE45" s="111">
        <f t="shared" ref="AE45:AE74" si="35">AF45+AG45</f>
        <v>0.40534722222222219</v>
      </c>
      <c r="AF45" s="112">
        <f t="shared" ref="AF45:AF74" si="36">$W$3-AD45</f>
        <v>0.15660879629629632</v>
      </c>
      <c r="AG45" s="113">
        <f t="shared" ref="AG45:AG74" si="37">AC45</f>
        <v>0.2487384259259259</v>
      </c>
      <c r="AH45" s="114">
        <f t="shared" ref="AH45:AH74" si="38">AF45+$X$3</f>
        <v>0.28160879629629632</v>
      </c>
      <c r="AI45" s="111">
        <f t="shared" ref="AI45:AI74" si="39">AC45-$X$3</f>
        <v>0.1237384259259259</v>
      </c>
      <c r="AN45" s="118"/>
    </row>
    <row r="46" spans="1:40">
      <c r="A46" s="96" t="s">
        <v>371</v>
      </c>
      <c r="B46" s="111">
        <v>0.24783564814814815</v>
      </c>
      <c r="C46" s="111">
        <v>0.83211805555555562</v>
      </c>
      <c r="D46" s="111">
        <f t="shared" si="23"/>
        <v>0.41571759259259256</v>
      </c>
      <c r="E46" s="112">
        <f t="shared" si="24"/>
        <v>0.16788194444444438</v>
      </c>
      <c r="F46" s="113">
        <f t="shared" si="25"/>
        <v>0.24783564814814815</v>
      </c>
      <c r="G46" s="114">
        <f t="shared" si="26"/>
        <v>0.29288194444444438</v>
      </c>
      <c r="H46" s="111">
        <f t="shared" si="27"/>
        <v>0.12283564814814815</v>
      </c>
      <c r="I46" s="111"/>
      <c r="J46" s="102" t="s">
        <v>372</v>
      </c>
      <c r="K46" s="101">
        <v>0.22989583333333333</v>
      </c>
      <c r="L46" s="101">
        <v>0.85163194444444434</v>
      </c>
      <c r="M46" s="101">
        <f t="shared" si="28"/>
        <v>0.37826388888888896</v>
      </c>
      <c r="N46" s="101">
        <f t="shared" si="20"/>
        <v>0.14836805555555566</v>
      </c>
      <c r="O46" s="115">
        <f t="shared" si="29"/>
        <v>0.22989583333333333</v>
      </c>
      <c r="P46" s="115">
        <f t="shared" si="21"/>
        <v>0.27336805555555566</v>
      </c>
      <c r="Q46" s="101">
        <f t="shared" si="22"/>
        <v>0.10489583333333333</v>
      </c>
      <c r="R46" s="111"/>
      <c r="S46" s="96" t="s">
        <v>281</v>
      </c>
      <c r="T46" s="101">
        <v>0.23217592592592592</v>
      </c>
      <c r="U46" s="101">
        <v>0.85744212962962962</v>
      </c>
      <c r="V46" s="101">
        <f t="shared" si="30"/>
        <v>0.37473379629629633</v>
      </c>
      <c r="W46" s="101">
        <f t="shared" si="31"/>
        <v>0.14255787037037038</v>
      </c>
      <c r="X46" s="115">
        <f t="shared" si="32"/>
        <v>0.23217592592592592</v>
      </c>
      <c r="Y46" s="115">
        <f t="shared" si="33"/>
        <v>0.26755787037037038</v>
      </c>
      <c r="Z46" s="101">
        <f t="shared" si="34"/>
        <v>0.10717592592592592</v>
      </c>
      <c r="AA46" s="111"/>
      <c r="AB46" s="102" t="s">
        <v>373</v>
      </c>
      <c r="AC46" s="111">
        <v>0.24939814814814812</v>
      </c>
      <c r="AD46" s="111">
        <v>0.84261574074074075</v>
      </c>
      <c r="AE46" s="111">
        <f t="shared" si="35"/>
        <v>0.40678240740740734</v>
      </c>
      <c r="AF46" s="112">
        <f t="shared" si="36"/>
        <v>0.15738425925925925</v>
      </c>
      <c r="AG46" s="113">
        <f t="shared" si="37"/>
        <v>0.24939814814814812</v>
      </c>
      <c r="AH46" s="114">
        <f t="shared" si="38"/>
        <v>0.28238425925925925</v>
      </c>
      <c r="AI46" s="111">
        <f t="shared" si="39"/>
        <v>0.12439814814814812</v>
      </c>
    </row>
    <row r="47" spans="1:40">
      <c r="A47" s="96" t="s">
        <v>374</v>
      </c>
      <c r="B47" s="111">
        <v>0.24697916666666667</v>
      </c>
      <c r="C47" s="111">
        <v>0.83283564814814814</v>
      </c>
      <c r="D47" s="111">
        <f t="shared" si="23"/>
        <v>0.41414351851851849</v>
      </c>
      <c r="E47" s="112">
        <f t="shared" si="24"/>
        <v>0.16716435185185186</v>
      </c>
      <c r="F47" s="113">
        <f t="shared" si="25"/>
        <v>0.24697916666666667</v>
      </c>
      <c r="G47" s="114">
        <f t="shared" si="26"/>
        <v>0.29216435185185186</v>
      </c>
      <c r="H47" s="111">
        <f t="shared" si="27"/>
        <v>0.12197916666666667</v>
      </c>
      <c r="I47" s="111"/>
      <c r="J47" s="117" t="s">
        <v>375</v>
      </c>
      <c r="K47" s="101">
        <v>0.22965277777777779</v>
      </c>
      <c r="L47" s="101">
        <v>0.85210648148148149</v>
      </c>
      <c r="M47" s="101">
        <f t="shared" si="28"/>
        <v>0.37754629629629632</v>
      </c>
      <c r="N47" s="101">
        <f t="shared" si="20"/>
        <v>0.14789351851851851</v>
      </c>
      <c r="O47" s="115">
        <f t="shared" si="29"/>
        <v>0.22965277777777779</v>
      </c>
      <c r="P47" s="115">
        <f t="shared" si="21"/>
        <v>0.27289351851851851</v>
      </c>
      <c r="Q47" s="101">
        <f t="shared" si="22"/>
        <v>0.10465277777777779</v>
      </c>
      <c r="R47" s="111"/>
      <c r="S47" s="96" t="s">
        <v>284</v>
      </c>
      <c r="T47" s="101">
        <v>0.23255787037037037</v>
      </c>
      <c r="U47" s="101">
        <v>0.85729166666666667</v>
      </c>
      <c r="V47" s="101">
        <f t="shared" si="30"/>
        <v>0.37526620370370367</v>
      </c>
      <c r="W47" s="101">
        <f t="shared" si="31"/>
        <v>0.14270833333333333</v>
      </c>
      <c r="X47" s="115">
        <f t="shared" si="32"/>
        <v>0.23255787037037037</v>
      </c>
      <c r="Y47" s="115">
        <f t="shared" si="33"/>
        <v>0.26770833333333333</v>
      </c>
      <c r="Z47" s="101">
        <f t="shared" si="34"/>
        <v>0.10755787037037037</v>
      </c>
      <c r="AA47" s="111"/>
      <c r="AB47" s="102" t="s">
        <v>376</v>
      </c>
      <c r="AC47" s="111">
        <v>0.25006944444444446</v>
      </c>
      <c r="AD47" s="111">
        <v>0.84181712962962962</v>
      </c>
      <c r="AE47" s="111">
        <f t="shared" si="35"/>
        <v>0.40825231481481483</v>
      </c>
      <c r="AF47" s="112">
        <f t="shared" si="36"/>
        <v>0.15818287037037038</v>
      </c>
      <c r="AG47" s="113">
        <f t="shared" si="37"/>
        <v>0.25006944444444446</v>
      </c>
      <c r="AH47" s="114">
        <f t="shared" si="38"/>
        <v>0.28318287037037038</v>
      </c>
      <c r="AI47" s="111">
        <f t="shared" si="39"/>
        <v>0.12506944444444446</v>
      </c>
    </row>
    <row r="48" spans="1:40">
      <c r="A48" s="96" t="s">
        <v>377</v>
      </c>
      <c r="B48" s="111">
        <v>0.24614583333333331</v>
      </c>
      <c r="C48" s="111">
        <v>0.83354166666666663</v>
      </c>
      <c r="D48" s="111">
        <f t="shared" si="23"/>
        <v>0.41260416666666666</v>
      </c>
      <c r="E48" s="112">
        <f t="shared" si="24"/>
        <v>0.16645833333333337</v>
      </c>
      <c r="F48" s="113">
        <f t="shared" si="25"/>
        <v>0.24614583333333331</v>
      </c>
      <c r="G48" s="114">
        <f t="shared" si="26"/>
        <v>0.29145833333333337</v>
      </c>
      <c r="H48" s="111">
        <f t="shared" si="27"/>
        <v>0.12114583333333331</v>
      </c>
      <c r="I48" s="111"/>
      <c r="J48" s="102" t="s">
        <v>378</v>
      </c>
      <c r="K48" s="101">
        <v>0.22943287037037038</v>
      </c>
      <c r="L48" s="101">
        <v>0.85255787037037034</v>
      </c>
      <c r="M48" s="101">
        <f t="shared" si="28"/>
        <v>0.37687500000000007</v>
      </c>
      <c r="N48" s="101">
        <f t="shared" si="20"/>
        <v>0.14744212962962966</v>
      </c>
      <c r="O48" s="115">
        <f t="shared" si="29"/>
        <v>0.22943287037037038</v>
      </c>
      <c r="P48" s="115">
        <f t="shared" si="21"/>
        <v>0.27244212962962966</v>
      </c>
      <c r="Q48" s="101">
        <f t="shared" si="22"/>
        <v>0.10443287037037038</v>
      </c>
      <c r="R48" s="111"/>
      <c r="S48" s="96" t="s">
        <v>287</v>
      </c>
      <c r="T48" s="101">
        <v>0.23296296296296296</v>
      </c>
      <c r="U48" s="101">
        <v>0.85711805555555554</v>
      </c>
      <c r="V48" s="101">
        <f t="shared" si="30"/>
        <v>0.37584490740740739</v>
      </c>
      <c r="W48" s="101">
        <f t="shared" si="31"/>
        <v>0.14288194444444446</v>
      </c>
      <c r="X48" s="115">
        <f t="shared" si="32"/>
        <v>0.23296296296296296</v>
      </c>
      <c r="Y48" s="115">
        <f t="shared" si="33"/>
        <v>0.26788194444444446</v>
      </c>
      <c r="Z48" s="101">
        <f t="shared" si="34"/>
        <v>0.10796296296296296</v>
      </c>
      <c r="AA48" s="111"/>
      <c r="AB48" s="102" t="s">
        <v>379</v>
      </c>
      <c r="AC48" s="111">
        <v>0.25074074074074076</v>
      </c>
      <c r="AD48" s="111">
        <v>0.84100694444444446</v>
      </c>
      <c r="AE48" s="111">
        <f t="shared" si="35"/>
        <v>0.4097337962962963</v>
      </c>
      <c r="AF48" s="112">
        <f t="shared" si="36"/>
        <v>0.15899305555555554</v>
      </c>
      <c r="AG48" s="113">
        <f t="shared" si="37"/>
        <v>0.25074074074074076</v>
      </c>
      <c r="AH48" s="114">
        <f t="shared" si="38"/>
        <v>0.28399305555555554</v>
      </c>
      <c r="AI48" s="111">
        <f t="shared" si="39"/>
        <v>0.12574074074074076</v>
      </c>
    </row>
    <row r="49" spans="1:35">
      <c r="A49" s="96" t="s">
        <v>380</v>
      </c>
      <c r="B49" s="111">
        <v>0.24532407407407408</v>
      </c>
      <c r="C49" s="111">
        <v>0.83424768518518511</v>
      </c>
      <c r="D49" s="111">
        <f t="shared" si="23"/>
        <v>0.41107638888888898</v>
      </c>
      <c r="E49" s="112">
        <f t="shared" si="24"/>
        <v>0.16575231481481489</v>
      </c>
      <c r="F49" s="113">
        <f t="shared" si="25"/>
        <v>0.24532407407407408</v>
      </c>
      <c r="G49" s="114">
        <f t="shared" si="26"/>
        <v>0.29075231481481489</v>
      </c>
      <c r="H49" s="111">
        <f t="shared" si="27"/>
        <v>0.12032407407407408</v>
      </c>
      <c r="I49" s="111"/>
      <c r="J49" s="102" t="s">
        <v>381</v>
      </c>
      <c r="K49" s="101">
        <v>0.22923611111111111</v>
      </c>
      <c r="L49" s="101">
        <v>0.85299768518518515</v>
      </c>
      <c r="M49" s="101">
        <f t="shared" si="28"/>
        <v>0.37623842592592593</v>
      </c>
      <c r="N49" s="101">
        <f t="shared" si="20"/>
        <v>0.14700231481481485</v>
      </c>
      <c r="O49" s="115">
        <f t="shared" si="29"/>
        <v>0.22923611111111111</v>
      </c>
      <c r="P49" s="115">
        <f t="shared" si="21"/>
        <v>0.27200231481481485</v>
      </c>
      <c r="Q49" s="101">
        <f t="shared" si="22"/>
        <v>0.10423611111111111</v>
      </c>
      <c r="R49" s="111"/>
      <c r="S49" s="96" t="s">
        <v>290</v>
      </c>
      <c r="T49" s="101">
        <v>0.23337962962962963</v>
      </c>
      <c r="U49" s="101">
        <v>0.85693287037037036</v>
      </c>
      <c r="V49" s="101">
        <f t="shared" si="30"/>
        <v>0.3764467592592593</v>
      </c>
      <c r="W49" s="101">
        <f t="shared" si="31"/>
        <v>0.14306712962962964</v>
      </c>
      <c r="X49" s="115">
        <f t="shared" si="32"/>
        <v>0.23337962962962963</v>
      </c>
      <c r="Y49" s="115">
        <f t="shared" si="33"/>
        <v>0.26806712962962964</v>
      </c>
      <c r="Z49" s="101">
        <f t="shared" si="34"/>
        <v>0.10837962962962963</v>
      </c>
      <c r="AA49" s="111"/>
      <c r="AB49" s="117" t="s">
        <v>382</v>
      </c>
      <c r="AC49" s="111">
        <v>0.25140046296296298</v>
      </c>
      <c r="AD49" s="111">
        <v>0.84018518518518526</v>
      </c>
      <c r="AE49" s="111">
        <f t="shared" si="35"/>
        <v>0.41121527777777772</v>
      </c>
      <c r="AF49" s="112">
        <f t="shared" si="36"/>
        <v>0.15981481481481474</v>
      </c>
      <c r="AG49" s="113">
        <f t="shared" si="37"/>
        <v>0.25140046296296298</v>
      </c>
      <c r="AH49" s="114">
        <f t="shared" si="38"/>
        <v>0.28481481481481474</v>
      </c>
      <c r="AI49" s="111">
        <f t="shared" si="39"/>
        <v>0.12640046296296298</v>
      </c>
    </row>
    <row r="50" spans="1:35">
      <c r="A50" s="110" t="s">
        <v>383</v>
      </c>
      <c r="B50" s="111">
        <v>0.24452546296296296</v>
      </c>
      <c r="C50" s="111">
        <v>0.8349537037037037</v>
      </c>
      <c r="D50" s="111">
        <f t="shared" si="23"/>
        <v>0.40957175925925926</v>
      </c>
      <c r="E50" s="112">
        <f t="shared" si="24"/>
        <v>0.1650462962962963</v>
      </c>
      <c r="F50" s="113">
        <f t="shared" si="25"/>
        <v>0.24452546296296296</v>
      </c>
      <c r="G50" s="114">
        <f t="shared" si="26"/>
        <v>0.2900462962962963</v>
      </c>
      <c r="H50" s="111">
        <f t="shared" si="27"/>
        <v>0.11952546296296296</v>
      </c>
      <c r="I50" s="111"/>
      <c r="J50" s="102" t="s">
        <v>384</v>
      </c>
      <c r="K50" s="101">
        <v>0.22906249999999997</v>
      </c>
      <c r="L50" s="101">
        <v>0.85341435185185188</v>
      </c>
      <c r="M50" s="101">
        <f t="shared" si="28"/>
        <v>0.37564814814814806</v>
      </c>
      <c r="N50" s="101">
        <f t="shared" si="20"/>
        <v>0.14658564814814812</v>
      </c>
      <c r="O50" s="115">
        <f t="shared" si="29"/>
        <v>0.22906249999999997</v>
      </c>
      <c r="P50" s="115">
        <f t="shared" si="21"/>
        <v>0.27158564814814812</v>
      </c>
      <c r="Q50" s="101">
        <f t="shared" si="22"/>
        <v>0.10406249999999997</v>
      </c>
      <c r="R50" s="111"/>
      <c r="S50" s="96" t="s">
        <v>293</v>
      </c>
      <c r="T50" s="101">
        <v>0.23380787037037035</v>
      </c>
      <c r="U50" s="101">
        <v>0.85671296296296295</v>
      </c>
      <c r="V50" s="101">
        <f t="shared" si="30"/>
        <v>0.37709490740740736</v>
      </c>
      <c r="W50" s="101">
        <f t="shared" si="31"/>
        <v>0.14328703703703705</v>
      </c>
      <c r="X50" s="115">
        <f t="shared" si="32"/>
        <v>0.23380787037037035</v>
      </c>
      <c r="Y50" s="115">
        <f t="shared" si="33"/>
        <v>0.26828703703703705</v>
      </c>
      <c r="Z50" s="101">
        <f t="shared" si="34"/>
        <v>0.10880787037037035</v>
      </c>
      <c r="AA50" s="111"/>
      <c r="AB50" s="102" t="s">
        <v>385</v>
      </c>
      <c r="AC50" s="111">
        <v>0.25207175925925923</v>
      </c>
      <c r="AD50" s="111">
        <v>0.83934027777777775</v>
      </c>
      <c r="AE50" s="111">
        <f t="shared" si="35"/>
        <v>0.41273148148148148</v>
      </c>
      <c r="AF50" s="112">
        <f t="shared" si="36"/>
        <v>0.16065972222222225</v>
      </c>
      <c r="AG50" s="113">
        <f t="shared" si="37"/>
        <v>0.25207175925925923</v>
      </c>
      <c r="AH50" s="114">
        <f t="shared" si="38"/>
        <v>0.28565972222222225</v>
      </c>
      <c r="AI50" s="111">
        <f t="shared" si="39"/>
        <v>0.12707175925925923</v>
      </c>
    </row>
    <row r="51" spans="1:35">
      <c r="A51" s="96" t="s">
        <v>386</v>
      </c>
      <c r="B51" s="111">
        <v>0.24373842592592596</v>
      </c>
      <c r="C51" s="111">
        <v>0.83565972222222218</v>
      </c>
      <c r="D51" s="111">
        <f t="shared" si="23"/>
        <v>0.4080787037037038</v>
      </c>
      <c r="E51" s="112">
        <f t="shared" si="24"/>
        <v>0.16434027777777782</v>
      </c>
      <c r="F51" s="113">
        <f t="shared" si="25"/>
        <v>0.24373842592592596</v>
      </c>
      <c r="G51" s="114">
        <f t="shared" si="26"/>
        <v>0.28934027777777782</v>
      </c>
      <c r="H51" s="111">
        <f t="shared" si="27"/>
        <v>0.11873842592592596</v>
      </c>
      <c r="I51" s="111"/>
      <c r="J51" s="102" t="s">
        <v>387</v>
      </c>
      <c r="K51" s="101">
        <v>0.22890046296296296</v>
      </c>
      <c r="L51" s="101">
        <v>0.85381944444444446</v>
      </c>
      <c r="M51" s="101">
        <f t="shared" si="28"/>
        <v>0.37508101851851849</v>
      </c>
      <c r="N51" s="101">
        <f t="shared" si="20"/>
        <v>0.14618055555555554</v>
      </c>
      <c r="O51" s="115">
        <f t="shared" si="29"/>
        <v>0.22890046296296296</v>
      </c>
      <c r="P51" s="115">
        <f t="shared" si="21"/>
        <v>0.27118055555555554</v>
      </c>
      <c r="Q51" s="101">
        <f t="shared" si="22"/>
        <v>0.10390046296296296</v>
      </c>
      <c r="R51" s="111"/>
      <c r="S51" s="96" t="s">
        <v>296</v>
      </c>
      <c r="T51" s="101">
        <v>0.23424768518518521</v>
      </c>
      <c r="U51" s="101">
        <v>0.85646990740740747</v>
      </c>
      <c r="V51" s="101">
        <f t="shared" si="30"/>
        <v>0.37777777777777777</v>
      </c>
      <c r="W51" s="101">
        <f t="shared" si="31"/>
        <v>0.14353009259259253</v>
      </c>
      <c r="X51" s="115">
        <f t="shared" si="32"/>
        <v>0.23424768518518521</v>
      </c>
      <c r="Y51" s="115">
        <f t="shared" si="33"/>
        <v>0.26853009259259253</v>
      </c>
      <c r="Z51" s="101">
        <f t="shared" si="34"/>
        <v>0.10924768518518521</v>
      </c>
      <c r="AA51" s="111"/>
      <c r="AB51" s="102" t="s">
        <v>388</v>
      </c>
      <c r="AC51" s="111">
        <v>0.25275462962962963</v>
      </c>
      <c r="AD51" s="111">
        <v>0.83848379629629621</v>
      </c>
      <c r="AE51" s="111">
        <f t="shared" si="35"/>
        <v>0.41427083333333342</v>
      </c>
      <c r="AF51" s="112">
        <f t="shared" si="36"/>
        <v>0.16151620370370379</v>
      </c>
      <c r="AG51" s="113">
        <f t="shared" si="37"/>
        <v>0.25275462962962963</v>
      </c>
      <c r="AH51" s="114">
        <f t="shared" si="38"/>
        <v>0.28651620370370379</v>
      </c>
      <c r="AI51" s="111">
        <f t="shared" si="39"/>
        <v>0.12775462962962963</v>
      </c>
    </row>
    <row r="52" spans="1:35">
      <c r="A52" s="96" t="s">
        <v>389</v>
      </c>
      <c r="B52" s="111">
        <v>0.24296296296296296</v>
      </c>
      <c r="C52" s="111">
        <v>0.83636574074074066</v>
      </c>
      <c r="D52" s="111">
        <f t="shared" si="23"/>
        <v>0.40659722222222228</v>
      </c>
      <c r="E52" s="112">
        <f t="shared" si="24"/>
        <v>0.16363425925925934</v>
      </c>
      <c r="F52" s="113">
        <f t="shared" si="25"/>
        <v>0.24296296296296296</v>
      </c>
      <c r="G52" s="114">
        <f t="shared" si="26"/>
        <v>0.28863425925925934</v>
      </c>
      <c r="H52" s="111">
        <f t="shared" si="27"/>
        <v>0.11796296296296296</v>
      </c>
      <c r="I52" s="111"/>
      <c r="J52" s="102" t="s">
        <v>390</v>
      </c>
      <c r="K52" s="101">
        <v>0.22877314814814817</v>
      </c>
      <c r="L52" s="101">
        <v>0.85421296296296301</v>
      </c>
      <c r="M52" s="101">
        <f t="shared" si="28"/>
        <v>0.37456018518518519</v>
      </c>
      <c r="N52" s="101">
        <f t="shared" si="20"/>
        <v>0.14578703703703699</v>
      </c>
      <c r="O52" s="115">
        <f t="shared" si="29"/>
        <v>0.22877314814814817</v>
      </c>
      <c r="P52" s="115">
        <f t="shared" si="21"/>
        <v>0.27078703703703699</v>
      </c>
      <c r="Q52" s="101">
        <f t="shared" si="22"/>
        <v>0.10377314814814817</v>
      </c>
      <c r="R52" s="111"/>
      <c r="S52" s="110" t="s">
        <v>299</v>
      </c>
      <c r="T52" s="101">
        <v>0.23471064814814815</v>
      </c>
      <c r="U52" s="101">
        <v>0.85621527777777784</v>
      </c>
      <c r="V52" s="101">
        <f t="shared" si="30"/>
        <v>0.37849537037037029</v>
      </c>
      <c r="W52" s="101">
        <f t="shared" si="31"/>
        <v>0.14378472222222216</v>
      </c>
      <c r="X52" s="115">
        <f t="shared" si="32"/>
        <v>0.23471064814814815</v>
      </c>
      <c r="Y52" s="115">
        <f t="shared" si="33"/>
        <v>0.26878472222222216</v>
      </c>
      <c r="Z52" s="101">
        <f t="shared" si="34"/>
        <v>0.10971064814814815</v>
      </c>
      <c r="AA52" s="111"/>
      <c r="AB52" s="102" t="s">
        <v>391</v>
      </c>
      <c r="AC52" s="111">
        <v>0.25342592592592594</v>
      </c>
      <c r="AD52" s="111">
        <v>0.83761574074074074</v>
      </c>
      <c r="AE52" s="111">
        <f t="shared" si="35"/>
        <v>0.4158101851851852</v>
      </c>
      <c r="AF52" s="112">
        <f t="shared" si="36"/>
        <v>0.16238425925925926</v>
      </c>
      <c r="AG52" s="113">
        <f t="shared" si="37"/>
        <v>0.25342592592592594</v>
      </c>
      <c r="AH52" s="114">
        <f t="shared" si="38"/>
        <v>0.28738425925925926</v>
      </c>
      <c r="AI52" s="111">
        <f t="shared" si="39"/>
        <v>0.12842592592592594</v>
      </c>
    </row>
    <row r="53" spans="1:35">
      <c r="A53" s="96" t="s">
        <v>392</v>
      </c>
      <c r="B53" s="111">
        <v>0.24221064814814816</v>
      </c>
      <c r="C53" s="111">
        <v>0.83706018518518521</v>
      </c>
      <c r="D53" s="111">
        <f t="shared" si="23"/>
        <v>0.40515046296296298</v>
      </c>
      <c r="E53" s="112">
        <f t="shared" si="24"/>
        <v>0.16293981481481479</v>
      </c>
      <c r="F53" s="113">
        <f t="shared" si="25"/>
        <v>0.24221064814814816</v>
      </c>
      <c r="G53" s="114">
        <f t="shared" si="26"/>
        <v>0.28793981481481479</v>
      </c>
      <c r="H53" s="111">
        <f t="shared" si="27"/>
        <v>0.11721064814814816</v>
      </c>
      <c r="I53" s="111"/>
      <c r="J53" s="102" t="s">
        <v>393</v>
      </c>
      <c r="K53" s="101">
        <v>0.22866898148148149</v>
      </c>
      <c r="L53" s="101">
        <v>0.85458333333333336</v>
      </c>
      <c r="M53" s="101">
        <f t="shared" si="28"/>
        <v>0.37408564814814815</v>
      </c>
      <c r="N53" s="101">
        <f t="shared" si="20"/>
        <v>0.14541666666666664</v>
      </c>
      <c r="O53" s="115">
        <f t="shared" si="29"/>
        <v>0.22866898148148149</v>
      </c>
      <c r="P53" s="115">
        <f t="shared" si="21"/>
        <v>0.27041666666666664</v>
      </c>
      <c r="Q53" s="101">
        <f t="shared" si="22"/>
        <v>0.10366898148148149</v>
      </c>
      <c r="R53" s="111"/>
      <c r="S53" s="96" t="s">
        <v>302</v>
      </c>
      <c r="T53" s="101">
        <v>0.23518518518518516</v>
      </c>
      <c r="U53" s="101">
        <v>0.85592592592592587</v>
      </c>
      <c r="V53" s="101">
        <f t="shared" si="30"/>
        <v>0.3792592592592593</v>
      </c>
      <c r="W53" s="101">
        <f t="shared" si="31"/>
        <v>0.14407407407407413</v>
      </c>
      <c r="X53" s="115">
        <f t="shared" si="32"/>
        <v>0.23518518518518516</v>
      </c>
      <c r="Y53" s="115">
        <f t="shared" si="33"/>
        <v>0.26907407407407413</v>
      </c>
      <c r="Z53" s="101">
        <f t="shared" si="34"/>
        <v>0.11018518518518516</v>
      </c>
      <c r="AA53" s="111"/>
      <c r="AB53" s="102" t="s">
        <v>394</v>
      </c>
      <c r="AC53" s="111">
        <v>0.25409722222222225</v>
      </c>
      <c r="AD53" s="111">
        <v>0.83672453703703698</v>
      </c>
      <c r="AE53" s="111">
        <f t="shared" si="35"/>
        <v>0.41737268518518528</v>
      </c>
      <c r="AF53" s="112">
        <f t="shared" si="36"/>
        <v>0.16327546296296302</v>
      </c>
      <c r="AG53" s="113">
        <f t="shared" si="37"/>
        <v>0.25409722222222225</v>
      </c>
      <c r="AH53" s="114">
        <f t="shared" si="38"/>
        <v>0.28827546296296302</v>
      </c>
      <c r="AI53" s="111">
        <f t="shared" si="39"/>
        <v>0.12909722222222225</v>
      </c>
    </row>
    <row r="54" spans="1:35">
      <c r="A54" s="96" t="s">
        <v>395</v>
      </c>
      <c r="B54" s="111">
        <v>0.2414699074074074</v>
      </c>
      <c r="C54" s="111">
        <v>0.83775462962962965</v>
      </c>
      <c r="D54" s="111">
        <f t="shared" si="23"/>
        <v>0.40371527777777771</v>
      </c>
      <c r="E54" s="112">
        <f t="shared" si="24"/>
        <v>0.16224537037037035</v>
      </c>
      <c r="F54" s="113">
        <f t="shared" si="25"/>
        <v>0.2414699074074074</v>
      </c>
      <c r="G54" s="114">
        <f t="shared" si="26"/>
        <v>0.28724537037037035</v>
      </c>
      <c r="H54" s="111">
        <f t="shared" si="27"/>
        <v>0.1164699074074074</v>
      </c>
      <c r="I54" s="111"/>
      <c r="J54" s="117" t="s">
        <v>396</v>
      </c>
      <c r="K54" s="101">
        <v>0.22858796296296294</v>
      </c>
      <c r="L54" s="101">
        <v>0.85493055555555564</v>
      </c>
      <c r="M54" s="101">
        <f t="shared" si="28"/>
        <v>0.37365740740740727</v>
      </c>
      <c r="N54" s="101">
        <f t="shared" si="20"/>
        <v>0.14506944444444436</v>
      </c>
      <c r="O54" s="115">
        <f t="shared" si="29"/>
        <v>0.22858796296296294</v>
      </c>
      <c r="P54" s="115">
        <f t="shared" si="21"/>
        <v>0.27006944444444436</v>
      </c>
      <c r="Q54" s="101">
        <f t="shared" si="22"/>
        <v>0.10358796296296294</v>
      </c>
      <c r="R54" s="111"/>
      <c r="S54" s="96" t="s">
        <v>305</v>
      </c>
      <c r="T54" s="101">
        <v>0.23567129629629627</v>
      </c>
      <c r="U54" s="101">
        <v>0.85561342592592593</v>
      </c>
      <c r="V54" s="101">
        <f t="shared" si="30"/>
        <v>0.38005787037037031</v>
      </c>
      <c r="W54" s="101">
        <f t="shared" si="31"/>
        <v>0.14438657407407407</v>
      </c>
      <c r="X54" s="115">
        <f t="shared" si="32"/>
        <v>0.23567129629629627</v>
      </c>
      <c r="Y54" s="115">
        <f t="shared" si="33"/>
        <v>0.26938657407407407</v>
      </c>
      <c r="Z54" s="101">
        <f t="shared" si="34"/>
        <v>0.11067129629629627</v>
      </c>
      <c r="AA54" s="111"/>
      <c r="AB54" s="102" t="s">
        <v>397</v>
      </c>
      <c r="AC54" s="111">
        <v>0.2547800925925926</v>
      </c>
      <c r="AD54" s="111">
        <v>0.83583333333333332</v>
      </c>
      <c r="AE54" s="111">
        <f t="shared" si="35"/>
        <v>0.41894675925925928</v>
      </c>
      <c r="AF54" s="112">
        <f t="shared" si="36"/>
        <v>0.16416666666666668</v>
      </c>
      <c r="AG54" s="113">
        <f t="shared" si="37"/>
        <v>0.2547800925925926</v>
      </c>
      <c r="AH54" s="114">
        <f t="shared" si="38"/>
        <v>0.28916666666666668</v>
      </c>
      <c r="AI54" s="111">
        <f t="shared" si="39"/>
        <v>0.1297800925925926</v>
      </c>
    </row>
    <row r="55" spans="1:35">
      <c r="A55" s="96" t="s">
        <v>398</v>
      </c>
      <c r="B55" s="111">
        <v>0.24075231481481482</v>
      </c>
      <c r="C55" s="111">
        <v>0.83843749999999995</v>
      </c>
      <c r="D55" s="111">
        <f t="shared" si="23"/>
        <v>0.4023148148148149</v>
      </c>
      <c r="E55" s="112">
        <f t="shared" si="24"/>
        <v>0.16156250000000005</v>
      </c>
      <c r="F55" s="113">
        <f t="shared" si="25"/>
        <v>0.24075231481481482</v>
      </c>
      <c r="G55" s="114">
        <f t="shared" si="26"/>
        <v>0.28656250000000005</v>
      </c>
      <c r="H55" s="111">
        <f t="shared" si="27"/>
        <v>0.11575231481481482</v>
      </c>
      <c r="I55" s="111"/>
      <c r="J55" s="102" t="s">
        <v>399</v>
      </c>
      <c r="K55" s="101">
        <v>0.22851851851851854</v>
      </c>
      <c r="L55" s="101">
        <v>0.85526620370370365</v>
      </c>
      <c r="M55" s="101">
        <f t="shared" si="28"/>
        <v>0.37325231481481491</v>
      </c>
      <c r="N55" s="101">
        <f t="shared" si="20"/>
        <v>0.14473379629629635</v>
      </c>
      <c r="O55" s="115">
        <f t="shared" si="29"/>
        <v>0.22851851851851854</v>
      </c>
      <c r="P55" s="115">
        <f t="shared" si="21"/>
        <v>0.26973379629629635</v>
      </c>
      <c r="Q55" s="101">
        <f t="shared" si="22"/>
        <v>0.10351851851851854</v>
      </c>
      <c r="R55" s="111"/>
      <c r="S55" s="96" t="s">
        <v>308</v>
      </c>
      <c r="T55" s="101">
        <v>0.23616898148148149</v>
      </c>
      <c r="U55" s="101">
        <v>0.8552777777777778</v>
      </c>
      <c r="V55" s="101">
        <f t="shared" si="30"/>
        <v>0.38089120370370366</v>
      </c>
      <c r="W55" s="101">
        <f t="shared" si="31"/>
        <v>0.1447222222222222</v>
      </c>
      <c r="X55" s="115">
        <f t="shared" si="32"/>
        <v>0.23616898148148149</v>
      </c>
      <c r="Y55" s="115">
        <f t="shared" si="33"/>
        <v>0.2697222222222222</v>
      </c>
      <c r="Z55" s="101">
        <f t="shared" si="34"/>
        <v>0.11116898148148149</v>
      </c>
      <c r="AA55" s="111"/>
      <c r="AB55" s="102" t="s">
        <v>400</v>
      </c>
      <c r="AC55" s="111">
        <v>0.25546296296296295</v>
      </c>
      <c r="AD55" s="111">
        <v>0.83491898148148147</v>
      </c>
      <c r="AE55" s="111">
        <f t="shared" si="35"/>
        <v>0.42054398148148148</v>
      </c>
      <c r="AF55" s="112">
        <f t="shared" si="36"/>
        <v>0.16508101851851853</v>
      </c>
      <c r="AG55" s="113">
        <f t="shared" si="37"/>
        <v>0.25546296296296295</v>
      </c>
      <c r="AH55" s="114">
        <f t="shared" si="38"/>
        <v>0.29008101851851853</v>
      </c>
      <c r="AI55" s="111">
        <f t="shared" si="39"/>
        <v>0.13046296296296295</v>
      </c>
    </row>
    <row r="56" spans="1:35">
      <c r="A56" s="96" t="s">
        <v>401</v>
      </c>
      <c r="B56" s="111">
        <v>0.24004629629629629</v>
      </c>
      <c r="C56" s="111">
        <v>0.83912037037037035</v>
      </c>
      <c r="D56" s="111">
        <f t="shared" si="23"/>
        <v>0.40092592592592591</v>
      </c>
      <c r="E56" s="112">
        <f t="shared" si="24"/>
        <v>0.16087962962962965</v>
      </c>
      <c r="F56" s="113">
        <f t="shared" si="25"/>
        <v>0.24004629629629629</v>
      </c>
      <c r="G56" s="114">
        <f t="shared" si="26"/>
        <v>0.28587962962962965</v>
      </c>
      <c r="H56" s="111">
        <f t="shared" si="27"/>
        <v>0.11504629629629629</v>
      </c>
      <c r="I56" s="111"/>
      <c r="J56" s="102" t="s">
        <v>402</v>
      </c>
      <c r="K56" s="101">
        <v>0.22848379629629631</v>
      </c>
      <c r="L56" s="101">
        <v>0.8555787037037037</v>
      </c>
      <c r="M56" s="101">
        <f t="shared" si="28"/>
        <v>0.37290509259259264</v>
      </c>
      <c r="N56" s="101">
        <f t="shared" si="20"/>
        <v>0.1444212962962963</v>
      </c>
      <c r="O56" s="115">
        <f t="shared" si="29"/>
        <v>0.22848379629629631</v>
      </c>
      <c r="P56" s="115">
        <f t="shared" si="21"/>
        <v>0.2694212962962963</v>
      </c>
      <c r="Q56" s="101">
        <f t="shared" si="22"/>
        <v>0.10348379629629631</v>
      </c>
      <c r="R56" s="111"/>
      <c r="S56" s="96" t="s">
        <v>311</v>
      </c>
      <c r="T56" s="101">
        <v>0.23667824074074073</v>
      </c>
      <c r="U56" s="101">
        <v>0.85493055555555564</v>
      </c>
      <c r="V56" s="101">
        <f t="shared" si="30"/>
        <v>0.38174768518518509</v>
      </c>
      <c r="W56" s="101">
        <f t="shared" si="31"/>
        <v>0.14506944444444436</v>
      </c>
      <c r="X56" s="115">
        <f t="shared" si="32"/>
        <v>0.23667824074074073</v>
      </c>
      <c r="Y56" s="115">
        <f t="shared" si="33"/>
        <v>0.27006944444444436</v>
      </c>
      <c r="Z56" s="101">
        <f t="shared" si="34"/>
        <v>0.11167824074074073</v>
      </c>
      <c r="AA56" s="111"/>
      <c r="AB56" s="117" t="s">
        <v>403</v>
      </c>
      <c r="AC56" s="111">
        <v>0.25613425925925926</v>
      </c>
      <c r="AD56" s="111">
        <v>0.83399305555555558</v>
      </c>
      <c r="AE56" s="111">
        <f t="shared" si="35"/>
        <v>0.42214120370370367</v>
      </c>
      <c r="AF56" s="112">
        <f t="shared" si="36"/>
        <v>0.16600694444444442</v>
      </c>
      <c r="AG56" s="113">
        <f t="shared" si="37"/>
        <v>0.25613425925925926</v>
      </c>
      <c r="AH56" s="114">
        <f t="shared" si="38"/>
        <v>0.29100694444444442</v>
      </c>
      <c r="AI56" s="111">
        <f t="shared" si="39"/>
        <v>0.13113425925925926</v>
      </c>
    </row>
    <row r="57" spans="1:35">
      <c r="A57" s="110" t="s">
        <v>404</v>
      </c>
      <c r="B57" s="111">
        <v>0.23936342592592594</v>
      </c>
      <c r="C57" s="111">
        <v>0.83980324074074064</v>
      </c>
      <c r="D57" s="111">
        <f t="shared" si="23"/>
        <v>0.39956018518518532</v>
      </c>
      <c r="E57" s="112">
        <f t="shared" si="24"/>
        <v>0.16019675925925936</v>
      </c>
      <c r="F57" s="113">
        <f t="shared" si="25"/>
        <v>0.23936342592592594</v>
      </c>
      <c r="G57" s="114">
        <f t="shared" si="26"/>
        <v>0.28519675925925936</v>
      </c>
      <c r="H57" s="111">
        <f t="shared" si="27"/>
        <v>0.11436342592592594</v>
      </c>
      <c r="I57" s="111"/>
      <c r="J57" s="102" t="s">
        <v>405</v>
      </c>
      <c r="K57" s="101">
        <v>0.22847222222222222</v>
      </c>
      <c r="L57" s="101">
        <v>0.8558796296296296</v>
      </c>
      <c r="M57" s="101">
        <f t="shared" si="28"/>
        <v>0.37259259259259259</v>
      </c>
      <c r="N57" s="101">
        <f t="shared" si="20"/>
        <v>0.1441203703703704</v>
      </c>
      <c r="O57" s="115">
        <f t="shared" si="29"/>
        <v>0.22847222222222222</v>
      </c>
      <c r="P57" s="115">
        <f t="shared" si="21"/>
        <v>0.2691203703703704</v>
      </c>
      <c r="Q57" s="101">
        <f t="shared" si="22"/>
        <v>0.10347222222222222</v>
      </c>
      <c r="R57" s="111"/>
      <c r="S57" s="96" t="s">
        <v>314</v>
      </c>
      <c r="T57" s="101">
        <v>0.23719907407407406</v>
      </c>
      <c r="U57" s="101">
        <v>0.85454861111111102</v>
      </c>
      <c r="V57" s="101">
        <f t="shared" si="30"/>
        <v>0.38265046296296301</v>
      </c>
      <c r="W57" s="101">
        <f t="shared" si="31"/>
        <v>0.14545138888888898</v>
      </c>
      <c r="X57" s="115">
        <f t="shared" si="32"/>
        <v>0.23719907407407406</v>
      </c>
      <c r="Y57" s="115">
        <f t="shared" si="33"/>
        <v>0.27045138888888898</v>
      </c>
      <c r="Z57" s="101">
        <f t="shared" si="34"/>
        <v>0.11219907407407406</v>
      </c>
      <c r="AA57" s="111"/>
      <c r="AB57" s="102" t="s">
        <v>406</v>
      </c>
      <c r="AC57" s="111">
        <v>0.2568171296296296</v>
      </c>
      <c r="AD57" s="111">
        <v>0.83304398148148151</v>
      </c>
      <c r="AE57" s="111">
        <f t="shared" si="35"/>
        <v>0.42377314814814809</v>
      </c>
      <c r="AF57" s="112">
        <f t="shared" si="36"/>
        <v>0.16695601851851849</v>
      </c>
      <c r="AG57" s="113">
        <f t="shared" si="37"/>
        <v>0.2568171296296296</v>
      </c>
      <c r="AH57" s="114">
        <f t="shared" si="38"/>
        <v>0.29195601851851849</v>
      </c>
      <c r="AI57" s="111">
        <f t="shared" si="39"/>
        <v>0.1318171296296296</v>
      </c>
    </row>
    <row r="58" spans="1:35">
      <c r="A58" s="96" t="s">
        <v>407</v>
      </c>
      <c r="B58" s="111">
        <v>0.23870370370370372</v>
      </c>
      <c r="C58" s="111">
        <v>0.84047453703703701</v>
      </c>
      <c r="D58" s="111">
        <f t="shared" si="23"/>
        <v>0.39822916666666675</v>
      </c>
      <c r="E58" s="112">
        <f t="shared" si="24"/>
        <v>0.15952546296296299</v>
      </c>
      <c r="F58" s="113">
        <f t="shared" si="25"/>
        <v>0.23870370370370372</v>
      </c>
      <c r="G58" s="114">
        <f t="shared" si="26"/>
        <v>0.28452546296296299</v>
      </c>
      <c r="H58" s="111">
        <f t="shared" si="27"/>
        <v>0.11370370370370372</v>
      </c>
      <c r="I58" s="111"/>
      <c r="J58" s="102" t="s">
        <v>408</v>
      </c>
      <c r="K58" s="101">
        <v>0.22847222222222222</v>
      </c>
      <c r="L58" s="101">
        <v>0.85615740740740742</v>
      </c>
      <c r="M58" s="101">
        <f t="shared" si="28"/>
        <v>0.37231481481481477</v>
      </c>
      <c r="N58" s="101">
        <f t="shared" si="20"/>
        <v>0.14384259259259258</v>
      </c>
      <c r="O58" s="115">
        <f t="shared" si="29"/>
        <v>0.22847222222222222</v>
      </c>
      <c r="P58" s="115">
        <f t="shared" si="21"/>
        <v>0.26884259259259258</v>
      </c>
      <c r="Q58" s="101">
        <f t="shared" si="22"/>
        <v>0.10347222222222222</v>
      </c>
      <c r="R58" s="111"/>
      <c r="S58" s="96" t="s">
        <v>317</v>
      </c>
      <c r="T58" s="101">
        <v>0.23773148148148149</v>
      </c>
      <c r="U58" s="101">
        <v>0.85414351851851855</v>
      </c>
      <c r="V58" s="101">
        <f t="shared" si="30"/>
        <v>0.38358796296296294</v>
      </c>
      <c r="W58" s="101">
        <f t="shared" si="31"/>
        <v>0.14585648148148145</v>
      </c>
      <c r="X58" s="115">
        <f t="shared" si="32"/>
        <v>0.23773148148148149</v>
      </c>
      <c r="Y58" s="115">
        <f t="shared" si="33"/>
        <v>0.27085648148148145</v>
      </c>
      <c r="Z58" s="101">
        <f t="shared" si="34"/>
        <v>0.11273148148148149</v>
      </c>
      <c r="AA58" s="111"/>
      <c r="AB58" s="102" t="s">
        <v>409</v>
      </c>
      <c r="AC58" s="111">
        <v>0.25750000000000001</v>
      </c>
      <c r="AD58" s="111">
        <v>0.83209490740740744</v>
      </c>
      <c r="AE58" s="111">
        <f t="shared" si="35"/>
        <v>0.42540509259259257</v>
      </c>
      <c r="AF58" s="112">
        <f t="shared" si="36"/>
        <v>0.16790509259259256</v>
      </c>
      <c r="AG58" s="113">
        <f t="shared" si="37"/>
        <v>0.25750000000000001</v>
      </c>
      <c r="AH58" s="114">
        <f t="shared" si="38"/>
        <v>0.29290509259259256</v>
      </c>
      <c r="AI58" s="111">
        <f t="shared" si="39"/>
        <v>0.13250000000000001</v>
      </c>
    </row>
    <row r="59" spans="1:35">
      <c r="A59" s="96" t="s">
        <v>410</v>
      </c>
      <c r="B59" s="111">
        <v>0.23805555555555555</v>
      </c>
      <c r="C59" s="111">
        <v>0.84113425925925922</v>
      </c>
      <c r="D59" s="111">
        <f t="shared" si="23"/>
        <v>0.39692129629629636</v>
      </c>
      <c r="E59" s="112">
        <f t="shared" si="24"/>
        <v>0.15886574074074078</v>
      </c>
      <c r="F59" s="113">
        <f t="shared" si="25"/>
        <v>0.23805555555555555</v>
      </c>
      <c r="G59" s="114">
        <f t="shared" si="26"/>
        <v>0.28386574074074078</v>
      </c>
      <c r="H59" s="111">
        <f t="shared" si="27"/>
        <v>0.11305555555555555</v>
      </c>
      <c r="I59" s="111"/>
      <c r="J59" s="102" t="s">
        <v>411</v>
      </c>
      <c r="K59" s="101">
        <v>0.22850694444444444</v>
      </c>
      <c r="L59" s="101">
        <v>0.85641203703703705</v>
      </c>
      <c r="M59" s="101">
        <f t="shared" si="28"/>
        <v>0.37209490740740736</v>
      </c>
      <c r="N59" s="101">
        <f t="shared" si="20"/>
        <v>0.14358796296296295</v>
      </c>
      <c r="O59" s="115">
        <f t="shared" si="29"/>
        <v>0.22850694444444444</v>
      </c>
      <c r="P59" s="115">
        <f t="shared" si="21"/>
        <v>0.26858796296296295</v>
      </c>
      <c r="Q59" s="101">
        <f t="shared" si="22"/>
        <v>0.10350694444444444</v>
      </c>
      <c r="R59" s="111"/>
      <c r="S59" s="110" t="s">
        <v>320</v>
      </c>
      <c r="T59" s="101">
        <v>0.23828703703703705</v>
      </c>
      <c r="U59" s="101">
        <v>0.85372685185185182</v>
      </c>
      <c r="V59" s="101">
        <f t="shared" si="30"/>
        <v>0.3845601851851852</v>
      </c>
      <c r="W59" s="101">
        <f t="shared" si="31"/>
        <v>0.14627314814814818</v>
      </c>
      <c r="X59" s="115">
        <f t="shared" si="32"/>
        <v>0.23828703703703705</v>
      </c>
      <c r="Y59" s="115">
        <f t="shared" si="33"/>
        <v>0.27127314814814818</v>
      </c>
      <c r="Z59" s="101">
        <f t="shared" si="34"/>
        <v>0.11328703703703705</v>
      </c>
      <c r="AA59" s="111"/>
      <c r="AB59" s="102" t="s">
        <v>412</v>
      </c>
      <c r="AC59" s="111">
        <v>0.25817129629629632</v>
      </c>
      <c r="AD59" s="111">
        <v>0.83113425925925932</v>
      </c>
      <c r="AE59" s="111">
        <f t="shared" si="35"/>
        <v>0.42703703703703699</v>
      </c>
      <c r="AF59" s="112">
        <f t="shared" si="36"/>
        <v>0.16886574074074068</v>
      </c>
      <c r="AG59" s="113">
        <f t="shared" si="37"/>
        <v>0.25817129629629632</v>
      </c>
      <c r="AH59" s="114">
        <f t="shared" si="38"/>
        <v>0.29386574074074068</v>
      </c>
      <c r="AI59" s="111">
        <f t="shared" si="39"/>
        <v>0.13317129629629632</v>
      </c>
    </row>
    <row r="60" spans="1:35">
      <c r="A60" s="96" t="s">
        <v>413</v>
      </c>
      <c r="B60" s="111">
        <v>0.23741898148148147</v>
      </c>
      <c r="C60" s="111">
        <v>0.84179398148148143</v>
      </c>
      <c r="D60" s="111">
        <f t="shared" si="23"/>
        <v>0.395625</v>
      </c>
      <c r="E60" s="112">
        <f t="shared" si="24"/>
        <v>0.15820601851851857</v>
      </c>
      <c r="F60" s="113">
        <f t="shared" si="25"/>
        <v>0.23741898148148147</v>
      </c>
      <c r="G60" s="114">
        <f t="shared" si="26"/>
        <v>0.28320601851851857</v>
      </c>
      <c r="H60" s="111">
        <f t="shared" si="27"/>
        <v>0.11241898148148147</v>
      </c>
      <c r="I60" s="111"/>
      <c r="J60" s="102" t="s">
        <v>414</v>
      </c>
      <c r="K60" s="101">
        <v>0.22855324074074077</v>
      </c>
      <c r="L60" s="101">
        <v>0.8566435185185185</v>
      </c>
      <c r="M60" s="101">
        <f t="shared" si="28"/>
        <v>0.37190972222222229</v>
      </c>
      <c r="N60" s="101">
        <f t="shared" si="20"/>
        <v>0.1433564814814815</v>
      </c>
      <c r="O60" s="115">
        <f t="shared" si="29"/>
        <v>0.22855324074074077</v>
      </c>
      <c r="P60" s="115">
        <f t="shared" si="21"/>
        <v>0.2683564814814815</v>
      </c>
      <c r="Q60" s="101">
        <f t="shared" si="22"/>
        <v>0.10355324074074077</v>
      </c>
      <c r="R60" s="111"/>
      <c r="S60" s="96" t="s">
        <v>323</v>
      </c>
      <c r="T60" s="101">
        <v>0.23884259259259258</v>
      </c>
      <c r="U60" s="101">
        <v>0.85328703703703701</v>
      </c>
      <c r="V60" s="101">
        <f t="shared" si="30"/>
        <v>0.38555555555555554</v>
      </c>
      <c r="W60" s="101">
        <f t="shared" si="31"/>
        <v>0.14671296296296299</v>
      </c>
      <c r="X60" s="115">
        <f t="shared" si="32"/>
        <v>0.23884259259259258</v>
      </c>
      <c r="Y60" s="115">
        <f t="shared" si="33"/>
        <v>0.27171296296296299</v>
      </c>
      <c r="Z60" s="101">
        <f t="shared" si="34"/>
        <v>0.11384259259259258</v>
      </c>
      <c r="AA60" s="111"/>
      <c r="AB60" s="102" t="s">
        <v>415</v>
      </c>
      <c r="AC60" s="111">
        <v>0.25885416666666666</v>
      </c>
      <c r="AD60" s="111">
        <v>0.83015046296296291</v>
      </c>
      <c r="AE60" s="111">
        <f t="shared" si="35"/>
        <v>0.42870370370370375</v>
      </c>
      <c r="AF60" s="112">
        <f t="shared" si="36"/>
        <v>0.16984953703703709</v>
      </c>
      <c r="AG60" s="113">
        <f t="shared" si="37"/>
        <v>0.25885416666666666</v>
      </c>
      <c r="AH60" s="114">
        <f t="shared" si="38"/>
        <v>0.29484953703703709</v>
      </c>
      <c r="AI60" s="111">
        <f t="shared" si="39"/>
        <v>0.13385416666666666</v>
      </c>
    </row>
    <row r="61" spans="1:35">
      <c r="A61" s="96" t="s">
        <v>416</v>
      </c>
      <c r="B61" s="111">
        <v>0.23681712962962964</v>
      </c>
      <c r="C61" s="111">
        <v>0.84245370370370365</v>
      </c>
      <c r="D61" s="111">
        <f t="shared" si="23"/>
        <v>0.39436342592592599</v>
      </c>
      <c r="E61" s="112">
        <f t="shared" si="24"/>
        <v>0.15754629629629635</v>
      </c>
      <c r="F61" s="113">
        <f t="shared" si="25"/>
        <v>0.23681712962962964</v>
      </c>
      <c r="G61" s="114">
        <f t="shared" si="26"/>
        <v>0.28254629629629635</v>
      </c>
      <c r="H61" s="111">
        <f t="shared" si="27"/>
        <v>0.11181712962962964</v>
      </c>
      <c r="I61" s="111"/>
      <c r="J61" s="117" t="s">
        <v>417</v>
      </c>
      <c r="K61" s="101">
        <v>0.22862268518518516</v>
      </c>
      <c r="L61" s="101">
        <v>0.8568634259259259</v>
      </c>
      <c r="M61" s="101">
        <f t="shared" si="28"/>
        <v>0.37175925925925923</v>
      </c>
      <c r="N61" s="101">
        <f t="shared" si="20"/>
        <v>0.1431365740740741</v>
      </c>
      <c r="O61" s="115">
        <f t="shared" si="29"/>
        <v>0.22862268518518516</v>
      </c>
      <c r="P61" s="115">
        <f t="shared" si="21"/>
        <v>0.2681365740740741</v>
      </c>
      <c r="Q61" s="101">
        <f t="shared" si="22"/>
        <v>0.10362268518518516</v>
      </c>
      <c r="R61" s="111"/>
      <c r="S61" s="96" t="s">
        <v>326</v>
      </c>
      <c r="T61" s="101">
        <v>0.23939814814814817</v>
      </c>
      <c r="U61" s="101">
        <v>0.85281250000000008</v>
      </c>
      <c r="V61" s="101">
        <f t="shared" si="30"/>
        <v>0.38658564814814811</v>
      </c>
      <c r="W61" s="101">
        <f t="shared" si="31"/>
        <v>0.14718749999999992</v>
      </c>
      <c r="X61" s="115">
        <f t="shared" si="32"/>
        <v>0.23939814814814817</v>
      </c>
      <c r="Y61" s="115">
        <f t="shared" si="33"/>
        <v>0.27218749999999992</v>
      </c>
      <c r="Z61" s="101">
        <f t="shared" si="34"/>
        <v>0.11439814814814817</v>
      </c>
      <c r="AA61" s="111"/>
      <c r="AB61" s="102" t="s">
        <v>418</v>
      </c>
      <c r="AC61" s="111">
        <v>0.25953703703703707</v>
      </c>
      <c r="AD61" s="111">
        <v>0.82916666666666661</v>
      </c>
      <c r="AE61" s="111">
        <f t="shared" si="35"/>
        <v>0.43037037037037046</v>
      </c>
      <c r="AF61" s="112">
        <f t="shared" si="36"/>
        <v>0.17083333333333339</v>
      </c>
      <c r="AG61" s="113">
        <f t="shared" si="37"/>
        <v>0.25953703703703707</v>
      </c>
      <c r="AH61" s="114">
        <f t="shared" si="38"/>
        <v>0.29583333333333339</v>
      </c>
      <c r="AI61" s="111">
        <f t="shared" si="39"/>
        <v>0.13453703703703707</v>
      </c>
    </row>
    <row r="62" spans="1:35">
      <c r="A62" s="96" t="s">
        <v>419</v>
      </c>
      <c r="B62" s="111">
        <v>0.23622685185185185</v>
      </c>
      <c r="C62" s="111">
        <v>0.84310185185185194</v>
      </c>
      <c r="D62" s="111">
        <f t="shared" si="23"/>
        <v>0.39312499999999995</v>
      </c>
      <c r="E62" s="112">
        <f t="shared" si="24"/>
        <v>0.15689814814814806</v>
      </c>
      <c r="F62" s="113">
        <f t="shared" si="25"/>
        <v>0.23622685185185185</v>
      </c>
      <c r="G62" s="114">
        <f t="shared" si="26"/>
        <v>0.28189814814814806</v>
      </c>
      <c r="H62" s="111">
        <f t="shared" si="27"/>
        <v>0.11122685185185185</v>
      </c>
      <c r="I62" s="111"/>
      <c r="J62" s="102" t="s">
        <v>420</v>
      </c>
      <c r="K62" s="101">
        <v>0.22872685185185185</v>
      </c>
      <c r="L62" s="101">
        <v>0.85706018518518512</v>
      </c>
      <c r="M62" s="101">
        <f t="shared" si="28"/>
        <v>0.3716666666666667</v>
      </c>
      <c r="N62" s="101">
        <f t="shared" si="20"/>
        <v>0.14293981481481488</v>
      </c>
      <c r="O62" s="115">
        <f t="shared" si="29"/>
        <v>0.22872685185185185</v>
      </c>
      <c r="P62" s="115">
        <f t="shared" si="21"/>
        <v>0.26793981481481488</v>
      </c>
      <c r="Q62" s="101">
        <f t="shared" si="22"/>
        <v>0.10372685185185185</v>
      </c>
      <c r="R62" s="111"/>
      <c r="S62" s="96" t="s">
        <v>329</v>
      </c>
      <c r="T62" s="101">
        <v>0.23997685185185183</v>
      </c>
      <c r="U62" s="101">
        <v>0.8523263888888889</v>
      </c>
      <c r="V62" s="101">
        <f t="shared" si="30"/>
        <v>0.38765046296296291</v>
      </c>
      <c r="W62" s="101">
        <f t="shared" si="31"/>
        <v>0.1476736111111111</v>
      </c>
      <c r="X62" s="115">
        <f t="shared" si="32"/>
        <v>0.23997685185185183</v>
      </c>
      <c r="Y62" s="115">
        <f t="shared" si="33"/>
        <v>0.2726736111111111</v>
      </c>
      <c r="Z62" s="101">
        <f t="shared" si="34"/>
        <v>0.11497685185185183</v>
      </c>
      <c r="AA62" s="111"/>
      <c r="AB62" s="102" t="s">
        <v>421</v>
      </c>
      <c r="AC62" s="111">
        <v>0.26021990740740741</v>
      </c>
      <c r="AD62" s="111">
        <v>0.82815972222222223</v>
      </c>
      <c r="AE62" s="111">
        <f t="shared" si="35"/>
        <v>0.43206018518518519</v>
      </c>
      <c r="AF62" s="112">
        <f t="shared" si="36"/>
        <v>0.17184027777777777</v>
      </c>
      <c r="AG62" s="113">
        <f t="shared" si="37"/>
        <v>0.26021990740740741</v>
      </c>
      <c r="AH62" s="114">
        <f t="shared" si="38"/>
        <v>0.29684027777777777</v>
      </c>
      <c r="AI62" s="111">
        <f t="shared" si="39"/>
        <v>0.13521990740740741</v>
      </c>
    </row>
    <row r="63" spans="1:35">
      <c r="A63" s="96" t="s">
        <v>422</v>
      </c>
      <c r="B63" s="111">
        <v>0.23565972222222223</v>
      </c>
      <c r="C63" s="111">
        <v>0.84373842592592585</v>
      </c>
      <c r="D63" s="111">
        <f t="shared" si="23"/>
        <v>0.39192129629629635</v>
      </c>
      <c r="E63" s="112">
        <f t="shared" si="24"/>
        <v>0.15626157407407415</v>
      </c>
      <c r="F63" s="113">
        <f t="shared" si="25"/>
        <v>0.23565972222222223</v>
      </c>
      <c r="G63" s="114">
        <f t="shared" si="26"/>
        <v>0.28126157407407415</v>
      </c>
      <c r="H63" s="111">
        <f t="shared" si="27"/>
        <v>0.11065972222222223</v>
      </c>
      <c r="I63" s="111"/>
      <c r="J63" s="102" t="s">
        <v>423</v>
      </c>
      <c r="K63" s="101">
        <v>0.22884259259259257</v>
      </c>
      <c r="L63" s="101">
        <v>0.85723379629629637</v>
      </c>
      <c r="M63" s="101">
        <f t="shared" si="28"/>
        <v>0.37160879629629617</v>
      </c>
      <c r="N63" s="101">
        <f t="shared" si="20"/>
        <v>0.14276620370370363</v>
      </c>
      <c r="O63" s="115">
        <f t="shared" si="29"/>
        <v>0.22884259259259257</v>
      </c>
      <c r="P63" s="115">
        <f t="shared" si="21"/>
        <v>0.26776620370370363</v>
      </c>
      <c r="Q63" s="101">
        <f t="shared" si="22"/>
        <v>0.10384259259259257</v>
      </c>
      <c r="R63" s="111"/>
      <c r="S63" s="96" t="s">
        <v>332</v>
      </c>
      <c r="T63" s="101">
        <v>0.24055555555555555</v>
      </c>
      <c r="U63" s="101">
        <v>0.85181712962962963</v>
      </c>
      <c r="V63" s="101">
        <f t="shared" si="30"/>
        <v>0.38873842592592589</v>
      </c>
      <c r="W63" s="101">
        <f t="shared" si="31"/>
        <v>0.14818287037037037</v>
      </c>
      <c r="X63" s="115">
        <f t="shared" si="32"/>
        <v>0.24055555555555555</v>
      </c>
      <c r="Y63" s="115">
        <f t="shared" si="33"/>
        <v>0.27318287037037037</v>
      </c>
      <c r="Z63" s="101">
        <f t="shared" si="34"/>
        <v>0.11555555555555555</v>
      </c>
      <c r="AA63" s="111"/>
      <c r="AB63" s="117" t="s">
        <v>424</v>
      </c>
      <c r="AC63" s="111">
        <v>0.26089120370370372</v>
      </c>
      <c r="AD63" s="111">
        <v>0.82715277777777774</v>
      </c>
      <c r="AE63" s="111">
        <f t="shared" si="35"/>
        <v>0.43373842592592599</v>
      </c>
      <c r="AF63" s="112">
        <f t="shared" si="36"/>
        <v>0.17284722222222226</v>
      </c>
      <c r="AG63" s="113">
        <f t="shared" si="37"/>
        <v>0.26089120370370372</v>
      </c>
      <c r="AH63" s="114">
        <f t="shared" si="38"/>
        <v>0.29784722222222226</v>
      </c>
      <c r="AI63" s="111">
        <f t="shared" si="39"/>
        <v>0.13589120370370372</v>
      </c>
    </row>
    <row r="64" spans="1:35">
      <c r="A64" s="110" t="s">
        <v>425</v>
      </c>
      <c r="B64" s="111">
        <v>0.23510416666666667</v>
      </c>
      <c r="C64" s="111">
        <v>0.84436342592592595</v>
      </c>
      <c r="D64" s="111">
        <f t="shared" si="23"/>
        <v>0.39074074074074072</v>
      </c>
      <c r="E64" s="112">
        <f t="shared" si="24"/>
        <v>0.15563657407407405</v>
      </c>
      <c r="F64" s="113">
        <f t="shared" si="25"/>
        <v>0.23510416666666667</v>
      </c>
      <c r="G64" s="114">
        <f t="shared" si="26"/>
        <v>0.28063657407407405</v>
      </c>
      <c r="H64" s="111">
        <f t="shared" si="27"/>
        <v>0.11010416666666667</v>
      </c>
      <c r="I64" s="111"/>
      <c r="J64" s="102" t="s">
        <v>426</v>
      </c>
      <c r="K64" s="101">
        <v>0.22898148148148148</v>
      </c>
      <c r="L64" s="101">
        <v>0.85738425925925921</v>
      </c>
      <c r="M64" s="101">
        <f t="shared" si="28"/>
        <v>0.37159722222222225</v>
      </c>
      <c r="N64" s="101">
        <f t="shared" si="20"/>
        <v>0.14261574074074079</v>
      </c>
      <c r="O64" s="115">
        <f t="shared" si="29"/>
        <v>0.22898148148148148</v>
      </c>
      <c r="P64" s="115">
        <f t="shared" si="21"/>
        <v>0.26761574074074079</v>
      </c>
      <c r="Q64" s="101">
        <f t="shared" si="22"/>
        <v>0.10398148148148148</v>
      </c>
      <c r="R64" s="111"/>
      <c r="S64" s="96" t="s">
        <v>335</v>
      </c>
      <c r="T64" s="101">
        <v>0.24114583333333331</v>
      </c>
      <c r="U64" s="101">
        <v>0.85128472222222218</v>
      </c>
      <c r="V64" s="101">
        <f t="shared" si="30"/>
        <v>0.3898611111111111</v>
      </c>
      <c r="W64" s="101">
        <f t="shared" si="31"/>
        <v>0.14871527777777782</v>
      </c>
      <c r="X64" s="115">
        <f t="shared" si="32"/>
        <v>0.24114583333333331</v>
      </c>
      <c r="Y64" s="115">
        <f t="shared" si="33"/>
        <v>0.27371527777777782</v>
      </c>
      <c r="Z64" s="101">
        <f t="shared" si="34"/>
        <v>0.11614583333333331</v>
      </c>
      <c r="AA64" s="111"/>
      <c r="AB64" s="102" t="s">
        <v>427</v>
      </c>
      <c r="AC64" s="111">
        <v>0.26157407407407407</v>
      </c>
      <c r="AD64" s="111">
        <v>0.82613425925925921</v>
      </c>
      <c r="AE64" s="111">
        <f t="shared" si="35"/>
        <v>0.43543981481481486</v>
      </c>
      <c r="AF64" s="112">
        <f t="shared" si="36"/>
        <v>0.17386574074074079</v>
      </c>
      <c r="AG64" s="113">
        <f t="shared" si="37"/>
        <v>0.26157407407407407</v>
      </c>
      <c r="AH64" s="114">
        <f t="shared" si="38"/>
        <v>0.29886574074074079</v>
      </c>
      <c r="AI64" s="111">
        <f t="shared" si="39"/>
        <v>0.13657407407407407</v>
      </c>
    </row>
    <row r="65" spans="1:35">
      <c r="A65" s="96" t="s">
        <v>428</v>
      </c>
      <c r="B65" s="111">
        <v>0.23457175925925924</v>
      </c>
      <c r="C65" s="111">
        <v>0.84498842592592593</v>
      </c>
      <c r="D65" s="111">
        <f t="shared" si="23"/>
        <v>0.38958333333333328</v>
      </c>
      <c r="E65" s="112">
        <f t="shared" si="24"/>
        <v>0.15501157407407407</v>
      </c>
      <c r="F65" s="113">
        <f t="shared" si="25"/>
        <v>0.23457175925925924</v>
      </c>
      <c r="G65" s="114">
        <f t="shared" si="26"/>
        <v>0.28001157407407407</v>
      </c>
      <c r="H65" s="111">
        <f t="shared" si="27"/>
        <v>0.10957175925925924</v>
      </c>
      <c r="I65" s="111"/>
      <c r="J65" s="102" t="s">
        <v>429</v>
      </c>
      <c r="K65" s="101">
        <v>0.22913194444444443</v>
      </c>
      <c r="L65" s="101">
        <v>0.85751157407407408</v>
      </c>
      <c r="M65" s="101">
        <f t="shared" si="28"/>
        <v>0.37162037037037032</v>
      </c>
      <c r="N65" s="101">
        <f t="shared" si="20"/>
        <v>0.14248842592592592</v>
      </c>
      <c r="O65" s="115">
        <f t="shared" si="29"/>
        <v>0.22913194444444443</v>
      </c>
      <c r="P65" s="115">
        <f t="shared" si="21"/>
        <v>0.26748842592592592</v>
      </c>
      <c r="Q65" s="101">
        <f t="shared" si="22"/>
        <v>0.10413194444444443</v>
      </c>
      <c r="R65" s="111"/>
      <c r="S65" s="96" t="s">
        <v>338</v>
      </c>
      <c r="T65" s="101">
        <v>0.24174768518518519</v>
      </c>
      <c r="U65" s="101">
        <v>0.8507407407407408</v>
      </c>
      <c r="V65" s="101">
        <f t="shared" si="30"/>
        <v>0.39100694444444439</v>
      </c>
      <c r="W65" s="101">
        <f t="shared" si="31"/>
        <v>0.1492592592592592</v>
      </c>
      <c r="X65" s="115">
        <f t="shared" si="32"/>
        <v>0.24174768518518519</v>
      </c>
      <c r="Y65" s="115">
        <f t="shared" si="33"/>
        <v>0.2742592592592592</v>
      </c>
      <c r="Z65" s="101">
        <f t="shared" si="34"/>
        <v>0.11674768518518519</v>
      </c>
      <c r="AA65" s="111"/>
      <c r="AB65" s="102" t="s">
        <v>430</v>
      </c>
      <c r="AC65" s="111">
        <v>0.26225694444444442</v>
      </c>
      <c r="AD65" s="111">
        <v>0.82510416666666664</v>
      </c>
      <c r="AE65" s="111">
        <f t="shared" si="35"/>
        <v>0.43715277777777778</v>
      </c>
      <c r="AF65" s="112">
        <f t="shared" si="36"/>
        <v>0.17489583333333336</v>
      </c>
      <c r="AG65" s="113">
        <f t="shared" si="37"/>
        <v>0.26225694444444442</v>
      </c>
      <c r="AH65" s="114">
        <f t="shared" si="38"/>
        <v>0.29989583333333336</v>
      </c>
      <c r="AI65" s="111">
        <f t="shared" si="39"/>
        <v>0.13725694444444442</v>
      </c>
    </row>
    <row r="66" spans="1:35">
      <c r="A66" s="96" t="s">
        <v>431</v>
      </c>
      <c r="B66" s="111">
        <v>0.23406249999999998</v>
      </c>
      <c r="C66" s="111">
        <v>0.84560185185185188</v>
      </c>
      <c r="D66" s="111">
        <f t="shared" si="23"/>
        <v>0.38846064814814807</v>
      </c>
      <c r="E66" s="112">
        <f t="shared" si="24"/>
        <v>0.15439814814814812</v>
      </c>
      <c r="F66" s="113">
        <f t="shared" si="25"/>
        <v>0.23406249999999998</v>
      </c>
      <c r="G66" s="114">
        <f t="shared" si="26"/>
        <v>0.27939814814814812</v>
      </c>
      <c r="H66" s="111">
        <f t="shared" si="27"/>
        <v>0.10906249999999998</v>
      </c>
      <c r="I66" s="111"/>
      <c r="J66" s="102" t="s">
        <v>432</v>
      </c>
      <c r="K66" s="101">
        <v>0.22931712962962961</v>
      </c>
      <c r="L66" s="101">
        <v>0.85761574074074076</v>
      </c>
      <c r="M66" s="101">
        <f t="shared" si="28"/>
        <v>0.37170138888888882</v>
      </c>
      <c r="N66" s="101">
        <f t="shared" si="20"/>
        <v>0.14238425925925924</v>
      </c>
      <c r="O66" s="115">
        <f t="shared" si="29"/>
        <v>0.22931712962962961</v>
      </c>
      <c r="P66" s="115">
        <f t="shared" si="21"/>
        <v>0.26738425925925924</v>
      </c>
      <c r="Q66" s="101">
        <f t="shared" si="22"/>
        <v>0.10431712962962961</v>
      </c>
      <c r="R66" s="111"/>
      <c r="S66" s="110" t="s">
        <v>341</v>
      </c>
      <c r="T66" s="101">
        <v>0.24236111111111111</v>
      </c>
      <c r="U66" s="101">
        <v>0.85016203703703708</v>
      </c>
      <c r="V66" s="101">
        <f t="shared" si="30"/>
        <v>0.39219907407407406</v>
      </c>
      <c r="W66" s="101">
        <f t="shared" si="31"/>
        <v>0.14983796296296292</v>
      </c>
      <c r="X66" s="115">
        <f t="shared" si="32"/>
        <v>0.24236111111111111</v>
      </c>
      <c r="Y66" s="115">
        <f t="shared" si="33"/>
        <v>0.27483796296296292</v>
      </c>
      <c r="Z66" s="101">
        <f t="shared" si="34"/>
        <v>0.11736111111111111</v>
      </c>
      <c r="AA66" s="111"/>
      <c r="AB66" s="102" t="s">
        <v>433</v>
      </c>
      <c r="AC66" s="111">
        <v>0.26293981481481482</v>
      </c>
      <c r="AD66" s="111">
        <v>0.82406250000000003</v>
      </c>
      <c r="AE66" s="111">
        <f t="shared" si="35"/>
        <v>0.43887731481481479</v>
      </c>
      <c r="AF66" s="112">
        <f t="shared" si="36"/>
        <v>0.17593749999999997</v>
      </c>
      <c r="AG66" s="113">
        <f t="shared" si="37"/>
        <v>0.26293981481481482</v>
      </c>
      <c r="AH66" s="114">
        <f t="shared" si="38"/>
        <v>0.30093749999999997</v>
      </c>
      <c r="AI66" s="111">
        <f t="shared" si="39"/>
        <v>0.13793981481481482</v>
      </c>
    </row>
    <row r="67" spans="1:35">
      <c r="A67" s="96" t="s">
        <v>434</v>
      </c>
      <c r="B67" s="111">
        <v>0.23357638888888888</v>
      </c>
      <c r="C67" s="111">
        <v>0.84620370370370368</v>
      </c>
      <c r="D67" s="111">
        <f t="shared" si="23"/>
        <v>0.38737268518518519</v>
      </c>
      <c r="E67" s="112">
        <f t="shared" si="24"/>
        <v>0.15379629629629632</v>
      </c>
      <c r="F67" s="113">
        <f t="shared" si="25"/>
        <v>0.23357638888888888</v>
      </c>
      <c r="G67" s="114">
        <f t="shared" si="26"/>
        <v>0.27879629629629632</v>
      </c>
      <c r="H67" s="111">
        <f t="shared" si="27"/>
        <v>0.10857638888888888</v>
      </c>
      <c r="I67" s="111"/>
      <c r="J67" s="102" t="s">
        <v>435</v>
      </c>
      <c r="K67" s="101">
        <v>0.22951388888888888</v>
      </c>
      <c r="L67" s="101">
        <v>0.85770833333333341</v>
      </c>
      <c r="M67" s="101">
        <f t="shared" si="28"/>
        <v>0.3718055555555555</v>
      </c>
      <c r="N67" s="101">
        <f t="shared" si="20"/>
        <v>0.14229166666666659</v>
      </c>
      <c r="O67" s="115">
        <f t="shared" si="29"/>
        <v>0.22951388888888888</v>
      </c>
      <c r="P67" s="115">
        <f t="shared" si="21"/>
        <v>0.26729166666666659</v>
      </c>
      <c r="Q67" s="101">
        <f t="shared" si="22"/>
        <v>0.10451388888888888</v>
      </c>
      <c r="R67" s="111"/>
      <c r="S67" s="96" t="s">
        <v>344</v>
      </c>
      <c r="T67" s="101">
        <v>0.24297453703703706</v>
      </c>
      <c r="U67" s="101">
        <v>0.84957175925925921</v>
      </c>
      <c r="V67" s="101">
        <f t="shared" si="30"/>
        <v>0.39340277777777788</v>
      </c>
      <c r="W67" s="101">
        <f t="shared" si="31"/>
        <v>0.15042824074074079</v>
      </c>
      <c r="X67" s="115">
        <f t="shared" si="32"/>
        <v>0.24297453703703706</v>
      </c>
      <c r="Y67" s="115">
        <f t="shared" si="33"/>
        <v>0.27542824074074079</v>
      </c>
      <c r="Z67" s="101">
        <f t="shared" si="34"/>
        <v>0.11797453703703706</v>
      </c>
      <c r="AA67" s="111"/>
      <c r="AB67" s="102" t="s">
        <v>436</v>
      </c>
      <c r="AC67" s="111">
        <v>0.26361111111111113</v>
      </c>
      <c r="AD67" s="111">
        <v>0.82300925925925927</v>
      </c>
      <c r="AE67" s="111">
        <f t="shared" si="35"/>
        <v>0.44060185185185186</v>
      </c>
      <c r="AF67" s="112">
        <f t="shared" si="36"/>
        <v>0.17699074074074073</v>
      </c>
      <c r="AG67" s="113">
        <f t="shared" si="37"/>
        <v>0.26361111111111113</v>
      </c>
      <c r="AH67" s="114">
        <f t="shared" si="38"/>
        <v>0.30199074074074073</v>
      </c>
      <c r="AI67" s="111">
        <f t="shared" si="39"/>
        <v>0.13861111111111113</v>
      </c>
    </row>
    <row r="68" spans="1:35">
      <c r="A68" s="96" t="s">
        <v>437</v>
      </c>
      <c r="B68" s="111">
        <v>0.2331134259259259</v>
      </c>
      <c r="C68" s="111">
        <v>0.84680555555555559</v>
      </c>
      <c r="D68" s="111">
        <f t="shared" si="23"/>
        <v>0.38630787037037029</v>
      </c>
      <c r="E68" s="112">
        <f t="shared" si="24"/>
        <v>0.15319444444444441</v>
      </c>
      <c r="F68" s="113">
        <f t="shared" si="25"/>
        <v>0.2331134259259259</v>
      </c>
      <c r="G68" s="114">
        <f t="shared" si="26"/>
        <v>0.27819444444444441</v>
      </c>
      <c r="H68" s="111">
        <f t="shared" si="27"/>
        <v>0.1081134259259259</v>
      </c>
      <c r="I68" s="111"/>
      <c r="J68" s="117" t="s">
        <v>438</v>
      </c>
      <c r="K68" s="101">
        <v>0.22973379629629631</v>
      </c>
      <c r="L68" s="101">
        <v>0.8577662037037036</v>
      </c>
      <c r="M68" s="101">
        <f t="shared" si="28"/>
        <v>0.37196759259259271</v>
      </c>
      <c r="N68" s="101">
        <f t="shared" si="20"/>
        <v>0.1422337962962964</v>
      </c>
      <c r="O68" s="115">
        <f t="shared" si="29"/>
        <v>0.22973379629629631</v>
      </c>
      <c r="P68" s="115">
        <f t="shared" si="21"/>
        <v>0.2672337962962964</v>
      </c>
      <c r="Q68" s="101">
        <f t="shared" si="22"/>
        <v>0.10473379629629631</v>
      </c>
      <c r="R68" s="111"/>
      <c r="S68" s="96" t="s">
        <v>347</v>
      </c>
      <c r="T68" s="101">
        <v>0.24358796296296295</v>
      </c>
      <c r="U68" s="101">
        <v>0.84895833333333337</v>
      </c>
      <c r="V68" s="101">
        <f t="shared" si="30"/>
        <v>0.39462962962962955</v>
      </c>
      <c r="W68" s="101">
        <f t="shared" si="31"/>
        <v>0.15104166666666663</v>
      </c>
      <c r="X68" s="115">
        <f t="shared" si="32"/>
        <v>0.24358796296296295</v>
      </c>
      <c r="Y68" s="115">
        <f t="shared" si="33"/>
        <v>0.27604166666666663</v>
      </c>
      <c r="Z68" s="101">
        <f t="shared" si="34"/>
        <v>0.11858796296296295</v>
      </c>
      <c r="AA68" s="111"/>
      <c r="AB68" s="102" t="s">
        <v>439</v>
      </c>
      <c r="AC68" s="111">
        <v>0.26429398148148148</v>
      </c>
      <c r="AD68" s="111">
        <v>0.82195601851851852</v>
      </c>
      <c r="AE68" s="111">
        <f t="shared" si="35"/>
        <v>0.44233796296296296</v>
      </c>
      <c r="AF68" s="112">
        <f t="shared" si="36"/>
        <v>0.17804398148148148</v>
      </c>
      <c r="AG68" s="113">
        <f t="shared" si="37"/>
        <v>0.26429398148148148</v>
      </c>
      <c r="AH68" s="114">
        <f t="shared" si="38"/>
        <v>0.30304398148148148</v>
      </c>
      <c r="AI68" s="111">
        <f t="shared" si="39"/>
        <v>0.13929398148148148</v>
      </c>
    </row>
    <row r="69" spans="1:35">
      <c r="A69" s="96" t="s">
        <v>440</v>
      </c>
      <c r="B69" s="111">
        <v>0.23266203703703703</v>
      </c>
      <c r="C69" s="111">
        <v>0.84738425925925931</v>
      </c>
      <c r="D69" s="111">
        <f t="shared" si="23"/>
        <v>0.38527777777777772</v>
      </c>
      <c r="E69" s="112">
        <f t="shared" si="24"/>
        <v>0.15261574074074069</v>
      </c>
      <c r="F69" s="113">
        <f t="shared" si="25"/>
        <v>0.23266203703703703</v>
      </c>
      <c r="G69" s="114">
        <f t="shared" si="26"/>
        <v>0.27761574074074069</v>
      </c>
      <c r="H69" s="111">
        <f t="shared" si="27"/>
        <v>0.10766203703703703</v>
      </c>
      <c r="I69" s="111"/>
      <c r="J69" s="102" t="s">
        <v>441</v>
      </c>
      <c r="K69" s="101">
        <v>0.22997685185185188</v>
      </c>
      <c r="L69" s="101">
        <v>0.85781249999999998</v>
      </c>
      <c r="M69" s="101">
        <f t="shared" si="28"/>
        <v>0.37216435185185193</v>
      </c>
      <c r="N69" s="101">
        <f t="shared" si="20"/>
        <v>0.14218750000000002</v>
      </c>
      <c r="O69" s="115">
        <f t="shared" si="29"/>
        <v>0.22997685185185188</v>
      </c>
      <c r="P69" s="115">
        <f t="shared" si="21"/>
        <v>0.26718750000000002</v>
      </c>
      <c r="Q69" s="101">
        <f t="shared" si="22"/>
        <v>0.10497685185185188</v>
      </c>
      <c r="R69" s="111"/>
      <c r="S69" s="96" t="s">
        <v>350</v>
      </c>
      <c r="T69" s="101">
        <v>0.24421296296296294</v>
      </c>
      <c r="U69" s="101">
        <v>0.84833333333333327</v>
      </c>
      <c r="V69" s="101">
        <f t="shared" si="30"/>
        <v>0.39587962962962964</v>
      </c>
      <c r="W69" s="101">
        <f t="shared" si="31"/>
        <v>0.15166666666666673</v>
      </c>
      <c r="X69" s="115">
        <f t="shared" si="32"/>
        <v>0.24421296296296294</v>
      </c>
      <c r="Y69" s="115">
        <f t="shared" si="33"/>
        <v>0.27666666666666673</v>
      </c>
      <c r="Z69" s="101">
        <f t="shared" si="34"/>
        <v>0.11921296296296294</v>
      </c>
      <c r="AA69" s="111"/>
      <c r="AB69" s="102" t="s">
        <v>442</v>
      </c>
      <c r="AC69" s="111">
        <v>0.26496527777777779</v>
      </c>
      <c r="AD69" s="111">
        <v>0.82087962962962957</v>
      </c>
      <c r="AE69" s="111">
        <f t="shared" si="35"/>
        <v>0.44408564814814822</v>
      </c>
      <c r="AF69" s="112">
        <f t="shared" si="36"/>
        <v>0.17912037037037043</v>
      </c>
      <c r="AG69" s="113">
        <f t="shared" si="37"/>
        <v>0.26496527777777779</v>
      </c>
      <c r="AH69" s="114">
        <f t="shared" si="38"/>
        <v>0.30412037037037043</v>
      </c>
      <c r="AI69" s="111">
        <f t="shared" si="39"/>
        <v>0.13996527777777779</v>
      </c>
    </row>
    <row r="70" spans="1:35">
      <c r="A70" s="96" t="s">
        <v>443</v>
      </c>
      <c r="B70" s="111">
        <v>0.23224537037037038</v>
      </c>
      <c r="C70" s="111">
        <v>0.84796296296296303</v>
      </c>
      <c r="D70" s="111">
        <f t="shared" si="23"/>
        <v>0.38428240740740738</v>
      </c>
      <c r="E70" s="112">
        <f t="shared" si="24"/>
        <v>0.15203703703703697</v>
      </c>
      <c r="F70" s="113">
        <f t="shared" si="25"/>
        <v>0.23224537037037038</v>
      </c>
      <c r="G70" s="114">
        <f t="shared" si="26"/>
        <v>0.27703703703703697</v>
      </c>
      <c r="H70" s="111">
        <f t="shared" si="27"/>
        <v>0.10724537037037038</v>
      </c>
      <c r="I70" s="111"/>
      <c r="J70" s="102" t="s">
        <v>444</v>
      </c>
      <c r="K70" s="101">
        <v>0.23023148148148151</v>
      </c>
      <c r="L70" s="101">
        <v>0.85782407407407402</v>
      </c>
      <c r="M70" s="101">
        <f t="shared" si="28"/>
        <v>0.37240740740740752</v>
      </c>
      <c r="N70" s="101">
        <f t="shared" si="20"/>
        <v>0.14217592592592598</v>
      </c>
      <c r="O70" s="115">
        <f t="shared" si="29"/>
        <v>0.23023148148148151</v>
      </c>
      <c r="P70" s="115">
        <f t="shared" si="21"/>
        <v>0.26717592592592598</v>
      </c>
      <c r="Q70" s="101">
        <f t="shared" si="22"/>
        <v>0.10523148148148151</v>
      </c>
      <c r="R70" s="111"/>
      <c r="S70" s="96" t="s">
        <v>353</v>
      </c>
      <c r="T70" s="101">
        <v>0.24484953703703705</v>
      </c>
      <c r="U70" s="101">
        <v>0.84768518518518521</v>
      </c>
      <c r="V70" s="101">
        <f t="shared" si="30"/>
        <v>0.39716435185185184</v>
      </c>
      <c r="W70" s="101">
        <f t="shared" si="31"/>
        <v>0.15231481481481479</v>
      </c>
      <c r="X70" s="115">
        <f t="shared" si="32"/>
        <v>0.24484953703703705</v>
      </c>
      <c r="Y70" s="115">
        <f t="shared" si="33"/>
        <v>0.27731481481481479</v>
      </c>
      <c r="Z70" s="101">
        <f t="shared" si="34"/>
        <v>0.11984953703703705</v>
      </c>
      <c r="AA70" s="111"/>
      <c r="AB70" s="117" t="s">
        <v>445</v>
      </c>
      <c r="AC70" s="111">
        <v>0.26564814814814813</v>
      </c>
      <c r="AD70" s="111">
        <v>0.81980324074074085</v>
      </c>
      <c r="AE70" s="111">
        <f t="shared" si="35"/>
        <v>0.44584490740740729</v>
      </c>
      <c r="AF70" s="112">
        <f t="shared" si="36"/>
        <v>0.18019675925925915</v>
      </c>
      <c r="AG70" s="113">
        <f t="shared" si="37"/>
        <v>0.26564814814814813</v>
      </c>
      <c r="AH70" s="114">
        <f t="shared" si="38"/>
        <v>0.30519675925925915</v>
      </c>
      <c r="AI70" s="111">
        <f t="shared" si="39"/>
        <v>0.14064814814814813</v>
      </c>
    </row>
    <row r="71" spans="1:35">
      <c r="A71" s="110" t="s">
        <v>446</v>
      </c>
      <c r="B71" s="111">
        <v>0.2318402777777778</v>
      </c>
      <c r="C71" s="111">
        <v>0.84851851851851856</v>
      </c>
      <c r="D71" s="111">
        <f t="shared" si="23"/>
        <v>0.38332175925925926</v>
      </c>
      <c r="E71" s="112">
        <f t="shared" si="24"/>
        <v>0.15148148148148144</v>
      </c>
      <c r="F71" s="113">
        <f t="shared" si="25"/>
        <v>0.2318402777777778</v>
      </c>
      <c r="G71" s="114">
        <f t="shared" si="26"/>
        <v>0.27648148148148144</v>
      </c>
      <c r="H71" s="111">
        <f t="shared" si="27"/>
        <v>0.1068402777777778</v>
      </c>
      <c r="I71" s="111"/>
      <c r="J71" s="102" t="s">
        <v>447</v>
      </c>
      <c r="K71" s="101">
        <v>0.23050925925925925</v>
      </c>
      <c r="L71" s="101">
        <v>0.85781249999999998</v>
      </c>
      <c r="M71" s="101">
        <f t="shared" si="28"/>
        <v>0.37269675925925927</v>
      </c>
      <c r="N71" s="101">
        <f t="shared" si="20"/>
        <v>0.14218750000000002</v>
      </c>
      <c r="O71" s="115">
        <f t="shared" si="29"/>
        <v>0.23050925925925925</v>
      </c>
      <c r="P71" s="115">
        <f t="shared" si="21"/>
        <v>0.26718750000000002</v>
      </c>
      <c r="Q71" s="101">
        <f t="shared" si="22"/>
        <v>0.10550925925925925</v>
      </c>
      <c r="R71" s="111"/>
      <c r="S71" s="96" t="s">
        <v>356</v>
      </c>
      <c r="T71" s="101">
        <v>0.2454861111111111</v>
      </c>
      <c r="U71" s="101">
        <v>0.84701388888888884</v>
      </c>
      <c r="V71" s="101">
        <f t="shared" si="30"/>
        <v>0.39847222222222223</v>
      </c>
      <c r="W71" s="101">
        <f t="shared" si="31"/>
        <v>0.15298611111111116</v>
      </c>
      <c r="X71" s="115">
        <f t="shared" si="32"/>
        <v>0.2454861111111111</v>
      </c>
      <c r="Y71" s="115">
        <f t="shared" si="33"/>
        <v>0.27798611111111116</v>
      </c>
      <c r="Z71" s="101">
        <f t="shared" si="34"/>
        <v>0.1204861111111111</v>
      </c>
      <c r="AA71" s="111"/>
      <c r="AB71" s="102" t="s">
        <v>448</v>
      </c>
      <c r="AC71" s="111">
        <v>0.26631944444444444</v>
      </c>
      <c r="AD71" s="111">
        <v>0.8187268518518519</v>
      </c>
      <c r="AE71" s="111">
        <f t="shared" si="35"/>
        <v>0.44759259259259254</v>
      </c>
      <c r="AF71" s="112">
        <f t="shared" si="36"/>
        <v>0.1812731481481481</v>
      </c>
      <c r="AG71" s="113">
        <f t="shared" si="37"/>
        <v>0.26631944444444444</v>
      </c>
      <c r="AH71" s="114">
        <f t="shared" si="38"/>
        <v>0.3062731481481481</v>
      </c>
      <c r="AI71" s="111">
        <f t="shared" si="39"/>
        <v>0.14131944444444444</v>
      </c>
    </row>
    <row r="72" spans="1:35">
      <c r="A72" s="96" t="s">
        <v>449</v>
      </c>
      <c r="B72" s="111">
        <v>0.23145833333333332</v>
      </c>
      <c r="C72" s="111">
        <v>0.84907407407407398</v>
      </c>
      <c r="D72" s="111">
        <f t="shared" si="23"/>
        <v>0.38238425925925934</v>
      </c>
      <c r="E72" s="112">
        <f t="shared" si="24"/>
        <v>0.15092592592592602</v>
      </c>
      <c r="F72" s="113">
        <f t="shared" si="25"/>
        <v>0.23145833333333332</v>
      </c>
      <c r="G72" s="114">
        <f t="shared" si="26"/>
        <v>0.27592592592592602</v>
      </c>
      <c r="H72" s="111">
        <f t="shared" si="27"/>
        <v>0.10645833333333332</v>
      </c>
      <c r="I72" s="111"/>
      <c r="J72" s="102" t="s">
        <v>450</v>
      </c>
      <c r="K72" s="101">
        <v>0.23081018518518517</v>
      </c>
      <c r="L72" s="101">
        <v>0.8577893518518519</v>
      </c>
      <c r="M72" s="101">
        <f t="shared" si="28"/>
        <v>0.37302083333333325</v>
      </c>
      <c r="N72" s="101">
        <f t="shared" si="20"/>
        <v>0.1422106481481481</v>
      </c>
      <c r="O72" s="115">
        <f t="shared" si="29"/>
        <v>0.23081018518518517</v>
      </c>
      <c r="P72" s="115">
        <f t="shared" si="21"/>
        <v>0.2672106481481481</v>
      </c>
      <c r="Q72" s="101">
        <f t="shared" si="22"/>
        <v>0.10581018518518517</v>
      </c>
      <c r="R72" s="111"/>
      <c r="S72" s="96" t="s">
        <v>359</v>
      </c>
      <c r="T72" s="101">
        <v>0.24613425925925925</v>
      </c>
      <c r="U72" s="101">
        <v>0.84631944444444451</v>
      </c>
      <c r="V72" s="101">
        <f t="shared" si="30"/>
        <v>0.39981481481481473</v>
      </c>
      <c r="W72" s="101">
        <f t="shared" si="31"/>
        <v>0.15368055555555549</v>
      </c>
      <c r="X72" s="115">
        <f t="shared" si="32"/>
        <v>0.24613425925925925</v>
      </c>
      <c r="Y72" s="115">
        <f t="shared" si="33"/>
        <v>0.27868055555555549</v>
      </c>
      <c r="Z72" s="101">
        <f t="shared" si="34"/>
        <v>0.12113425925925925</v>
      </c>
      <c r="AA72" s="111"/>
      <c r="AB72" s="102" t="s">
        <v>451</v>
      </c>
      <c r="AC72" s="111">
        <v>0.26699074074074075</v>
      </c>
      <c r="AD72" s="111">
        <v>0.81762731481481488</v>
      </c>
      <c r="AE72" s="111">
        <f t="shared" si="35"/>
        <v>0.44936342592592587</v>
      </c>
      <c r="AF72" s="112">
        <f t="shared" si="36"/>
        <v>0.18237268518518512</v>
      </c>
      <c r="AG72" s="113">
        <f t="shared" si="37"/>
        <v>0.26699074074074075</v>
      </c>
      <c r="AH72" s="114">
        <f t="shared" si="38"/>
        <v>0.30737268518518512</v>
      </c>
      <c r="AI72" s="111">
        <f t="shared" si="39"/>
        <v>0.14199074074074075</v>
      </c>
    </row>
    <row r="73" spans="1:35">
      <c r="A73" s="96" t="s">
        <v>452</v>
      </c>
      <c r="B73" s="111">
        <v>0.23109953703703703</v>
      </c>
      <c r="C73" s="111">
        <v>0.84961805555555558</v>
      </c>
      <c r="D73" s="111">
        <f t="shared" si="23"/>
        <v>0.38148148148148142</v>
      </c>
      <c r="E73" s="112">
        <f t="shared" si="24"/>
        <v>0.15038194444444442</v>
      </c>
      <c r="F73" s="113">
        <f t="shared" si="25"/>
        <v>0.23109953703703703</v>
      </c>
      <c r="G73" s="114">
        <f t="shared" si="26"/>
        <v>0.27538194444444442</v>
      </c>
      <c r="H73" s="111">
        <f t="shared" si="27"/>
        <v>0.10609953703703703</v>
      </c>
      <c r="I73" s="111"/>
      <c r="J73" s="119" t="s">
        <v>453</v>
      </c>
      <c r="K73" s="120">
        <v>0.23112268518518519</v>
      </c>
      <c r="L73" s="120">
        <v>0.85773148148148148</v>
      </c>
      <c r="M73" s="120">
        <f t="shared" si="28"/>
        <v>0.37339120370370371</v>
      </c>
      <c r="N73" s="120">
        <f t="shared" si="20"/>
        <v>0.14226851851851852</v>
      </c>
      <c r="O73" s="115">
        <f t="shared" si="29"/>
        <v>0.23112268518518519</v>
      </c>
      <c r="P73" s="121">
        <f t="shared" si="21"/>
        <v>0.26726851851851852</v>
      </c>
      <c r="Q73" s="120">
        <f t="shared" si="22"/>
        <v>0.10612268518518519</v>
      </c>
      <c r="R73" s="111"/>
      <c r="S73" s="110" t="s">
        <v>362</v>
      </c>
      <c r="T73" s="101">
        <v>0.24677083333333336</v>
      </c>
      <c r="U73" s="101">
        <v>0.84561342592592592</v>
      </c>
      <c r="V73" s="101">
        <f t="shared" si="30"/>
        <v>0.40115740740740746</v>
      </c>
      <c r="W73" s="101">
        <f t="shared" si="31"/>
        <v>0.15438657407407408</v>
      </c>
      <c r="X73" s="115">
        <f t="shared" si="32"/>
        <v>0.24677083333333336</v>
      </c>
      <c r="Y73" s="115">
        <f t="shared" si="33"/>
        <v>0.27938657407407408</v>
      </c>
      <c r="Z73" s="101">
        <f t="shared" si="34"/>
        <v>0.12177083333333336</v>
      </c>
      <c r="AA73" s="111"/>
      <c r="AB73" s="102" t="s">
        <v>454</v>
      </c>
      <c r="AC73" s="111">
        <v>0.2676736111111111</v>
      </c>
      <c r="AD73" s="111">
        <v>0.81652777777777785</v>
      </c>
      <c r="AE73" s="111">
        <f t="shared" si="35"/>
        <v>0.45114583333333325</v>
      </c>
      <c r="AF73" s="112">
        <f t="shared" si="36"/>
        <v>0.18347222222222215</v>
      </c>
      <c r="AG73" s="113">
        <f t="shared" si="37"/>
        <v>0.2676736111111111</v>
      </c>
      <c r="AH73" s="114">
        <f t="shared" si="38"/>
        <v>0.30847222222222215</v>
      </c>
      <c r="AI73" s="111">
        <f t="shared" si="39"/>
        <v>0.1426736111111111</v>
      </c>
    </row>
    <row r="74" spans="1:35">
      <c r="A74" s="124" t="s">
        <v>455</v>
      </c>
      <c r="B74" s="125">
        <v>0.23076388888888888</v>
      </c>
      <c r="C74" s="125">
        <v>0.85013888888888889</v>
      </c>
      <c r="D74" s="125">
        <f t="shared" si="23"/>
        <v>0.38062499999999999</v>
      </c>
      <c r="E74" s="126">
        <f t="shared" si="24"/>
        <v>0.14986111111111111</v>
      </c>
      <c r="F74" s="113">
        <f t="shared" si="25"/>
        <v>0.23076388888888888</v>
      </c>
      <c r="G74" s="127">
        <f t="shared" si="26"/>
        <v>0.27486111111111111</v>
      </c>
      <c r="H74" s="125">
        <f t="shared" si="27"/>
        <v>0.10576388888888888</v>
      </c>
      <c r="I74" s="111"/>
      <c r="J74" s="102"/>
      <c r="K74" s="97"/>
      <c r="L74" s="98" t="s">
        <v>104</v>
      </c>
      <c r="M74" s="122">
        <f>SUM(M44:M73)</f>
        <v>11.213252314814818</v>
      </c>
      <c r="N74" s="122">
        <f>SUM(N44:N73)</f>
        <v>4.3339004629629629</v>
      </c>
      <c r="O74" s="122">
        <f>SUM(O44:O73)</f>
        <v>6.8793518518518519</v>
      </c>
      <c r="P74" s="122">
        <f>SUM(P44:P73)</f>
        <v>8.0839004629629638</v>
      </c>
      <c r="Q74" s="122">
        <f>SUM(Q44:Q73)</f>
        <v>3.1293518518518528</v>
      </c>
      <c r="R74" s="96"/>
      <c r="S74" s="124" t="s">
        <v>456</v>
      </c>
      <c r="T74" s="120">
        <v>0.24743055555555557</v>
      </c>
      <c r="U74" s="120">
        <v>0.84489583333333329</v>
      </c>
      <c r="V74" s="120">
        <f t="shared" si="30"/>
        <v>0.40253472222222231</v>
      </c>
      <c r="W74" s="120">
        <f t="shared" si="31"/>
        <v>0.15510416666666671</v>
      </c>
      <c r="X74" s="115">
        <f t="shared" si="32"/>
        <v>0.24743055555555557</v>
      </c>
      <c r="Y74" s="121">
        <f t="shared" si="33"/>
        <v>0.28010416666666671</v>
      </c>
      <c r="Z74" s="120">
        <f t="shared" si="34"/>
        <v>0.12243055555555557</v>
      </c>
      <c r="AA74" s="111"/>
      <c r="AB74" s="119" t="s">
        <v>457</v>
      </c>
      <c r="AC74" s="125">
        <v>0.26834490740740741</v>
      </c>
      <c r="AD74" s="125">
        <v>0.81542824074074083</v>
      </c>
      <c r="AE74" s="125">
        <f t="shared" si="35"/>
        <v>0.45291666666666658</v>
      </c>
      <c r="AF74" s="126">
        <f t="shared" si="36"/>
        <v>0.18457175925925917</v>
      </c>
      <c r="AG74" s="113">
        <f t="shared" si="37"/>
        <v>0.26834490740740741</v>
      </c>
      <c r="AH74" s="127">
        <f t="shared" si="38"/>
        <v>0.30957175925925917</v>
      </c>
      <c r="AI74" s="125">
        <f t="shared" si="39"/>
        <v>0.14334490740740741</v>
      </c>
    </row>
    <row r="75" spans="1:35">
      <c r="A75" s="96"/>
      <c r="B75" s="96"/>
      <c r="C75" s="128" t="s">
        <v>104</v>
      </c>
      <c r="D75" s="129">
        <f>SUM(D44:D74)</f>
        <v>12.335659722222225</v>
      </c>
      <c r="E75" s="129">
        <f>SUM(E44:E74)</f>
        <v>4.932662037037038</v>
      </c>
      <c r="F75" s="129">
        <f>SUM(F44:F74)</f>
        <v>7.402997685185186</v>
      </c>
      <c r="G75" s="129">
        <f>SUM(G44:G74)</f>
        <v>8.8076620370370353</v>
      </c>
      <c r="H75" s="129">
        <f>SUM(H44:H74)</f>
        <v>3.5279976851851842</v>
      </c>
      <c r="I75" s="96"/>
      <c r="J75" s="102"/>
      <c r="K75" s="97"/>
      <c r="L75" s="97"/>
      <c r="M75" s="98"/>
      <c r="N75" s="97"/>
      <c r="O75" s="97"/>
      <c r="P75" s="97"/>
      <c r="Q75" s="97"/>
      <c r="R75" s="96"/>
      <c r="S75" s="96"/>
      <c r="T75" s="97"/>
      <c r="U75" s="98" t="s">
        <v>104</v>
      </c>
      <c r="V75" s="122">
        <f>SUM(V44:V74)</f>
        <v>11.96111111111111</v>
      </c>
      <c r="W75" s="122">
        <f>SUM(W44:W74)</f>
        <v>4.561608796296297</v>
      </c>
      <c r="X75" s="122">
        <f>SUM(X44:X74)</f>
        <v>7.399502314814816</v>
      </c>
      <c r="Y75" s="122">
        <f>SUM(Y44:Y74)</f>
        <v>8.4366087962962961</v>
      </c>
      <c r="Z75" s="122">
        <f>SUM(Z44:Z74)</f>
        <v>3.5245023148148142</v>
      </c>
      <c r="AA75" s="96"/>
      <c r="AD75" s="128" t="s">
        <v>104</v>
      </c>
      <c r="AE75" s="129">
        <f>SUM(AE44:AE74)</f>
        <v>13.253518518518517</v>
      </c>
      <c r="AF75" s="129">
        <f>SUM(AF44:AF74)</f>
        <v>5.2497569444444432</v>
      </c>
      <c r="AG75" s="129">
        <f>SUM(AG44:AG74)</f>
        <v>8.0037615740740726</v>
      </c>
      <c r="AH75" s="129">
        <f>SUM(AH44:AH74)</f>
        <v>9.1247569444444476</v>
      </c>
      <c r="AI75" s="129">
        <f>SUM(AI44:AI74)</f>
        <v>4.1287615740740735</v>
      </c>
    </row>
    <row r="76" spans="1:35">
      <c r="A76" s="96"/>
      <c r="B76" s="96"/>
      <c r="C76" s="96"/>
      <c r="D76" s="96"/>
      <c r="E76" s="96"/>
      <c r="F76" s="96"/>
      <c r="G76" s="96"/>
      <c r="H76" s="96"/>
      <c r="I76" s="96"/>
      <c r="J76" s="102"/>
      <c r="K76" s="97"/>
      <c r="L76" s="97"/>
      <c r="M76" s="97"/>
      <c r="N76" s="97"/>
      <c r="O76" s="97"/>
      <c r="P76" s="97"/>
      <c r="Q76" s="97"/>
      <c r="R76" s="96"/>
      <c r="S76" s="96"/>
      <c r="T76" s="97"/>
      <c r="U76" s="97"/>
      <c r="V76" s="97"/>
      <c r="W76" s="97"/>
      <c r="X76" s="97"/>
      <c r="Y76" s="97"/>
      <c r="Z76" s="97"/>
      <c r="AA76" s="96"/>
    </row>
    <row r="77" spans="1:35">
      <c r="A77" s="96"/>
      <c r="B77" s="96"/>
      <c r="C77" s="96"/>
      <c r="D77" s="96"/>
      <c r="E77" s="96"/>
      <c r="F77" s="96"/>
      <c r="G77" s="96"/>
      <c r="H77" s="96"/>
      <c r="I77" s="96"/>
      <c r="J77" s="102"/>
      <c r="K77" s="97"/>
      <c r="L77" s="97"/>
      <c r="M77" s="97"/>
      <c r="N77" s="97"/>
      <c r="O77" s="97"/>
      <c r="P77" s="97"/>
      <c r="Q77" s="97"/>
      <c r="R77" s="96"/>
      <c r="S77" s="96"/>
      <c r="T77" s="97"/>
      <c r="U77" s="97"/>
      <c r="V77" s="97"/>
      <c r="W77" s="97"/>
      <c r="X77" s="97"/>
      <c r="Y77" s="97"/>
      <c r="Z77" s="97"/>
      <c r="AA77" s="96"/>
    </row>
    <row r="78" spans="1:35" ht="31.5" customHeight="1">
      <c r="A78" s="575">
        <v>45170</v>
      </c>
      <c r="B78" s="575"/>
      <c r="C78" s="575"/>
      <c r="D78" s="103" t="s">
        <v>265</v>
      </c>
      <c r="E78" s="104" t="s">
        <v>266</v>
      </c>
      <c r="F78" s="104" t="s">
        <v>267</v>
      </c>
      <c r="G78" s="104" t="s">
        <v>268</v>
      </c>
      <c r="H78" s="104" t="s">
        <v>269</v>
      </c>
      <c r="I78" s="105"/>
      <c r="J78" s="575">
        <v>45200</v>
      </c>
      <c r="K78" s="575"/>
      <c r="L78" s="575"/>
      <c r="M78" s="103" t="s">
        <v>265</v>
      </c>
      <c r="N78" s="104" t="s">
        <v>266</v>
      </c>
      <c r="O78" s="104" t="s">
        <v>267</v>
      </c>
      <c r="P78" s="104" t="s">
        <v>268</v>
      </c>
      <c r="Q78" s="104" t="s">
        <v>269</v>
      </c>
      <c r="R78" s="105"/>
      <c r="S78" s="575">
        <v>45231</v>
      </c>
      <c r="T78" s="575"/>
      <c r="U78" s="575"/>
      <c r="V78" s="103" t="s">
        <v>265</v>
      </c>
      <c r="W78" s="104" t="s">
        <v>266</v>
      </c>
      <c r="X78" s="104" t="s">
        <v>267</v>
      </c>
      <c r="Y78" s="104" t="s">
        <v>268</v>
      </c>
      <c r="Z78" s="104" t="s">
        <v>269</v>
      </c>
      <c r="AA78" s="105"/>
      <c r="AB78" s="575">
        <v>45261</v>
      </c>
      <c r="AC78" s="575"/>
      <c r="AD78" s="575"/>
      <c r="AE78" s="103" t="s">
        <v>265</v>
      </c>
      <c r="AF78" s="104" t="s">
        <v>266</v>
      </c>
      <c r="AG78" s="104" t="s">
        <v>267</v>
      </c>
      <c r="AH78" s="104" t="s">
        <v>268</v>
      </c>
      <c r="AI78" s="104" t="s">
        <v>269</v>
      </c>
    </row>
    <row r="79" spans="1:35">
      <c r="A79" s="107" t="s">
        <v>270</v>
      </c>
      <c r="B79" s="107" t="s">
        <v>271</v>
      </c>
      <c r="C79" s="107" t="s">
        <v>272</v>
      </c>
      <c r="D79" s="107"/>
      <c r="E79" s="107"/>
      <c r="F79" s="107"/>
      <c r="G79" s="107"/>
      <c r="H79" s="107"/>
      <c r="I79" s="96"/>
      <c r="J79" s="108" t="s">
        <v>270</v>
      </c>
      <c r="K79" s="543" t="s">
        <v>271</v>
      </c>
      <c r="L79" s="543" t="s">
        <v>272</v>
      </c>
      <c r="M79" s="543"/>
      <c r="N79" s="543"/>
      <c r="O79" s="543"/>
      <c r="P79" s="543"/>
      <c r="Q79" s="543"/>
      <c r="R79" s="96"/>
      <c r="S79" s="107" t="s">
        <v>270</v>
      </c>
      <c r="T79" s="543" t="s">
        <v>271</v>
      </c>
      <c r="U79" s="543" t="s">
        <v>272</v>
      </c>
      <c r="V79" s="543"/>
      <c r="W79" s="543"/>
      <c r="X79" s="543"/>
      <c r="Y79" s="543"/>
      <c r="Z79" s="543"/>
      <c r="AA79" s="96"/>
      <c r="AB79" s="108" t="s">
        <v>270</v>
      </c>
      <c r="AC79" s="107" t="s">
        <v>271</v>
      </c>
      <c r="AD79" s="107" t="s">
        <v>272</v>
      </c>
      <c r="AE79" s="107"/>
      <c r="AF79" s="16"/>
      <c r="AG79" s="16"/>
      <c r="AH79" s="16"/>
      <c r="AI79" s="16"/>
    </row>
    <row r="80" spans="1:35">
      <c r="A80" s="96" t="s">
        <v>458</v>
      </c>
      <c r="B80" s="111">
        <v>0.26901620370370372</v>
      </c>
      <c r="C80" s="111">
        <v>0.81431712962962965</v>
      </c>
      <c r="D80" s="111">
        <f>E80+F80</f>
        <v>0.45469907407407406</v>
      </c>
      <c r="E80" s="112">
        <f t="shared" ref="E80:E109" si="40">$W$3-C80</f>
        <v>0.18568287037037035</v>
      </c>
      <c r="F80" s="113">
        <f>B80</f>
        <v>0.26901620370370372</v>
      </c>
      <c r="G80" s="114">
        <f t="shared" ref="G80:G109" si="41">E80+$X$3</f>
        <v>0.31068287037037035</v>
      </c>
      <c r="H80" s="111">
        <f t="shared" ref="H80:H109" si="42">B80-$X$3</f>
        <v>0.14401620370370372</v>
      </c>
      <c r="I80" s="111"/>
      <c r="J80" s="117" t="s">
        <v>273</v>
      </c>
      <c r="K80" s="101">
        <v>0.28937499999999999</v>
      </c>
      <c r="L80" s="101">
        <v>0.77961805555555552</v>
      </c>
      <c r="M80" s="101">
        <f>N80+O80</f>
        <v>0.50975694444444453</v>
      </c>
      <c r="N80" s="101">
        <f>$W$3-L80</f>
        <v>0.22038194444444448</v>
      </c>
      <c r="O80" s="115">
        <f>K80</f>
        <v>0.28937499999999999</v>
      </c>
      <c r="P80" s="115">
        <f>N80+$X$3</f>
        <v>0.34538194444444448</v>
      </c>
      <c r="Q80" s="101">
        <f>K80-$X$3</f>
        <v>0.16437499999999999</v>
      </c>
      <c r="R80" s="111"/>
      <c r="S80" s="96" t="s">
        <v>274</v>
      </c>
      <c r="T80" s="101">
        <v>0.3127199074074074</v>
      </c>
      <c r="U80" s="101">
        <v>0.74793981481481486</v>
      </c>
      <c r="V80" s="101">
        <f>W80+X80</f>
        <v>0.56478009259259254</v>
      </c>
      <c r="W80" s="101">
        <f t="shared" ref="W80:W109" si="43">$W$3-U80</f>
        <v>0.25206018518518514</v>
      </c>
      <c r="X80" s="115">
        <f>T80</f>
        <v>0.3127199074074074</v>
      </c>
      <c r="Y80" s="115">
        <f t="shared" ref="Y80:Y109" si="44">W80+$X$3</f>
        <v>0.37706018518518514</v>
      </c>
      <c r="Z80" s="101">
        <f t="shared" ref="Z80:Z109" si="45">T80-$X$3</f>
        <v>0.1877199074074074</v>
      </c>
      <c r="AA80" s="111"/>
      <c r="AB80" s="102" t="s">
        <v>458</v>
      </c>
      <c r="AC80" s="111">
        <v>0.29479166666666667</v>
      </c>
      <c r="AD80" s="111">
        <v>0.69028935185185192</v>
      </c>
      <c r="AE80" s="111">
        <f>AF80+AG80</f>
        <v>0.60450231481481476</v>
      </c>
      <c r="AF80" s="112">
        <f>$W$3-AD80</f>
        <v>0.30971064814814808</v>
      </c>
      <c r="AG80" s="133">
        <f>AC80</f>
        <v>0.29479166666666667</v>
      </c>
      <c r="AH80" s="114">
        <f>AF80+$X$3</f>
        <v>0.43471064814814808</v>
      </c>
      <c r="AI80" s="111">
        <f>AC80-$X$3</f>
        <v>0.16979166666666667</v>
      </c>
    </row>
    <row r="81" spans="1:35">
      <c r="A81" s="96" t="s">
        <v>459</v>
      </c>
      <c r="B81" s="111">
        <v>0.26968750000000002</v>
      </c>
      <c r="C81" s="111">
        <v>0.81319444444444444</v>
      </c>
      <c r="D81" s="111">
        <f t="shared" ref="D81:D109" si="46">E81+F81</f>
        <v>0.45649305555555558</v>
      </c>
      <c r="E81" s="112">
        <f t="shared" si="40"/>
        <v>0.18680555555555556</v>
      </c>
      <c r="F81" s="113">
        <f t="shared" ref="F81:F109" si="47">B81</f>
        <v>0.26968750000000002</v>
      </c>
      <c r="G81" s="114">
        <f t="shared" si="41"/>
        <v>0.31180555555555556</v>
      </c>
      <c r="H81" s="111">
        <f t="shared" si="42"/>
        <v>0.14468750000000002</v>
      </c>
      <c r="I81" s="111"/>
      <c r="J81" s="102" t="s">
        <v>276</v>
      </c>
      <c r="K81" s="101">
        <v>0.29008101851851853</v>
      </c>
      <c r="L81" s="101">
        <v>0.77847222222222223</v>
      </c>
      <c r="M81" s="101">
        <f t="shared" ref="M81:M110" si="48">N81+O81</f>
        <v>0.5116087962962963</v>
      </c>
      <c r="N81" s="101">
        <f t="shared" ref="N81:N110" si="49">$W$3-L81</f>
        <v>0.22152777777777777</v>
      </c>
      <c r="O81" s="115">
        <f t="shared" ref="O81:O110" si="50">K81</f>
        <v>0.29008101851851853</v>
      </c>
      <c r="P81" s="115">
        <f t="shared" ref="P81:P110" si="51">N81+$X$3</f>
        <v>0.34652777777777777</v>
      </c>
      <c r="Q81" s="101">
        <f t="shared" ref="Q81:Q110" si="52">K81-$X$3</f>
        <v>0.16508101851851853</v>
      </c>
      <c r="R81" s="111"/>
      <c r="S81" s="96" t="s">
        <v>277</v>
      </c>
      <c r="T81" s="101">
        <v>0.31353009259259262</v>
      </c>
      <c r="U81" s="101">
        <v>0.74710648148148151</v>
      </c>
      <c r="V81" s="101">
        <f t="shared" ref="V81:V109" si="53">W81+X81</f>
        <v>0.56642361111111117</v>
      </c>
      <c r="W81" s="101">
        <f t="shared" si="43"/>
        <v>0.25289351851851849</v>
      </c>
      <c r="X81" s="115">
        <f t="shared" ref="X81:X109" si="54">T81</f>
        <v>0.31353009259259262</v>
      </c>
      <c r="Y81" s="115">
        <f t="shared" si="44"/>
        <v>0.37789351851851849</v>
      </c>
      <c r="Z81" s="101">
        <f t="shared" si="45"/>
        <v>0.18853009259259262</v>
      </c>
      <c r="AA81" s="111"/>
      <c r="AB81" s="102" t="s">
        <v>459</v>
      </c>
      <c r="AC81" s="111">
        <v>0.29549768518518521</v>
      </c>
      <c r="AD81" s="111">
        <v>0.69011574074074078</v>
      </c>
      <c r="AE81" s="111">
        <f t="shared" ref="AE81:AE110" si="55">AF81+AG81</f>
        <v>0.60538194444444438</v>
      </c>
      <c r="AF81" s="112">
        <f t="shared" ref="AF81:AF110" si="56">$W$3-AD81</f>
        <v>0.30988425925925922</v>
      </c>
      <c r="AG81" s="133">
        <f t="shared" ref="AG81:AG110" si="57">AC81</f>
        <v>0.29549768518518521</v>
      </c>
      <c r="AH81" s="114">
        <f t="shared" ref="AH81:AH110" si="58">AF81+$X$3</f>
        <v>0.43488425925925922</v>
      </c>
      <c r="AI81" s="111">
        <f t="shared" ref="AI81:AI110" si="59">AC81-$X$3</f>
        <v>0.17049768518518521</v>
      </c>
    </row>
    <row r="82" spans="1:35">
      <c r="A82" s="110" t="s">
        <v>460</v>
      </c>
      <c r="B82" s="111">
        <v>0.27035879629629628</v>
      </c>
      <c r="C82" s="111">
        <v>0.81207175925925934</v>
      </c>
      <c r="D82" s="111">
        <f t="shared" si="46"/>
        <v>0.45828703703703694</v>
      </c>
      <c r="E82" s="112">
        <f t="shared" si="40"/>
        <v>0.18792824074074066</v>
      </c>
      <c r="F82" s="113">
        <f t="shared" si="47"/>
        <v>0.27035879629629628</v>
      </c>
      <c r="G82" s="114">
        <f t="shared" si="41"/>
        <v>0.31292824074074066</v>
      </c>
      <c r="H82" s="111">
        <f t="shared" si="42"/>
        <v>0.14535879629629628</v>
      </c>
      <c r="I82" s="111"/>
      <c r="J82" s="102" t="s">
        <v>279</v>
      </c>
      <c r="K82" s="101">
        <v>0.29078703703703707</v>
      </c>
      <c r="L82" s="101">
        <v>0.77733796296296298</v>
      </c>
      <c r="M82" s="101">
        <f t="shared" si="48"/>
        <v>0.51344907407407403</v>
      </c>
      <c r="N82" s="101">
        <f t="shared" si="49"/>
        <v>0.22266203703703702</v>
      </c>
      <c r="O82" s="115">
        <f t="shared" si="50"/>
        <v>0.29078703703703707</v>
      </c>
      <c r="P82" s="115">
        <f t="shared" si="51"/>
        <v>0.34766203703703702</v>
      </c>
      <c r="Q82" s="101">
        <f t="shared" si="52"/>
        <v>0.16578703703703707</v>
      </c>
      <c r="R82" s="111"/>
      <c r="S82" s="96" t="s">
        <v>280</v>
      </c>
      <c r="T82" s="101">
        <v>0.31434027777777779</v>
      </c>
      <c r="U82" s="101">
        <v>0.74629629629629635</v>
      </c>
      <c r="V82" s="101">
        <f t="shared" si="53"/>
        <v>0.5680439814814815</v>
      </c>
      <c r="W82" s="101">
        <f t="shared" si="43"/>
        <v>0.25370370370370365</v>
      </c>
      <c r="X82" s="115">
        <f t="shared" si="54"/>
        <v>0.31434027777777779</v>
      </c>
      <c r="Y82" s="115">
        <f t="shared" si="44"/>
        <v>0.37870370370370365</v>
      </c>
      <c r="Z82" s="101">
        <f t="shared" si="45"/>
        <v>0.18934027777777779</v>
      </c>
      <c r="AA82" s="111"/>
      <c r="AB82" s="117" t="s">
        <v>460</v>
      </c>
      <c r="AC82" s="111">
        <v>0.29618055555555556</v>
      </c>
      <c r="AD82" s="111">
        <v>0.68997685185185187</v>
      </c>
      <c r="AE82" s="111">
        <f t="shared" si="55"/>
        <v>0.60620370370370369</v>
      </c>
      <c r="AF82" s="112">
        <f t="shared" si="56"/>
        <v>0.31002314814814813</v>
      </c>
      <c r="AG82" s="133">
        <f t="shared" si="57"/>
        <v>0.29618055555555556</v>
      </c>
      <c r="AH82" s="114">
        <f t="shared" si="58"/>
        <v>0.43502314814814813</v>
      </c>
      <c r="AI82" s="111">
        <f t="shared" si="59"/>
        <v>0.17118055555555556</v>
      </c>
    </row>
    <row r="83" spans="1:35">
      <c r="A83" s="96" t="s">
        <v>461</v>
      </c>
      <c r="B83" s="111">
        <v>0.27103009259259259</v>
      </c>
      <c r="C83" s="111">
        <v>0.81093749999999998</v>
      </c>
      <c r="D83" s="111">
        <f t="shared" si="46"/>
        <v>0.46009259259259261</v>
      </c>
      <c r="E83" s="112">
        <f t="shared" si="40"/>
        <v>0.18906250000000002</v>
      </c>
      <c r="F83" s="113">
        <f t="shared" si="47"/>
        <v>0.27103009259259259</v>
      </c>
      <c r="G83" s="114">
        <f t="shared" si="41"/>
        <v>0.31406250000000002</v>
      </c>
      <c r="H83" s="111">
        <f t="shared" si="42"/>
        <v>0.14603009259259259</v>
      </c>
      <c r="I83" s="111"/>
      <c r="J83" s="102" t="s">
        <v>282</v>
      </c>
      <c r="K83" s="101">
        <v>0.29149305555555555</v>
      </c>
      <c r="L83" s="101">
        <v>0.77620370370370362</v>
      </c>
      <c r="M83" s="101">
        <f t="shared" si="48"/>
        <v>0.51528935185185198</v>
      </c>
      <c r="N83" s="101">
        <f t="shared" si="49"/>
        <v>0.22379629629629638</v>
      </c>
      <c r="O83" s="115">
        <f t="shared" si="50"/>
        <v>0.29149305555555555</v>
      </c>
      <c r="P83" s="115">
        <f t="shared" si="51"/>
        <v>0.34879629629629638</v>
      </c>
      <c r="Q83" s="101">
        <f t="shared" si="52"/>
        <v>0.16649305555555555</v>
      </c>
      <c r="R83" s="111"/>
      <c r="S83" s="96" t="s">
        <v>283</v>
      </c>
      <c r="T83" s="101">
        <v>0.31515046296296295</v>
      </c>
      <c r="U83" s="101">
        <v>0.74550925925925926</v>
      </c>
      <c r="V83" s="101">
        <f t="shared" si="53"/>
        <v>0.56964120370370375</v>
      </c>
      <c r="W83" s="101">
        <f t="shared" si="43"/>
        <v>0.25449074074074074</v>
      </c>
      <c r="X83" s="115">
        <f t="shared" si="54"/>
        <v>0.31515046296296295</v>
      </c>
      <c r="Y83" s="115">
        <f t="shared" si="44"/>
        <v>0.37949074074074074</v>
      </c>
      <c r="Z83" s="101">
        <f t="shared" si="45"/>
        <v>0.19015046296296295</v>
      </c>
      <c r="AA83" s="111"/>
      <c r="AB83" s="102" t="s">
        <v>461</v>
      </c>
      <c r="AC83" s="111">
        <v>0.29686342592592591</v>
      </c>
      <c r="AD83" s="111">
        <v>0.68987268518518519</v>
      </c>
      <c r="AE83" s="111">
        <f t="shared" si="55"/>
        <v>0.60699074074074066</v>
      </c>
      <c r="AF83" s="112">
        <f t="shared" si="56"/>
        <v>0.31012731481481481</v>
      </c>
      <c r="AG83" s="133">
        <f t="shared" si="57"/>
        <v>0.29686342592592591</v>
      </c>
      <c r="AH83" s="114">
        <f t="shared" si="58"/>
        <v>0.43512731481481481</v>
      </c>
      <c r="AI83" s="111">
        <f t="shared" si="59"/>
        <v>0.17186342592592591</v>
      </c>
    </row>
    <row r="84" spans="1:35">
      <c r="A84" s="96" t="s">
        <v>462</v>
      </c>
      <c r="B84" s="111">
        <v>0.27171296296296293</v>
      </c>
      <c r="C84" s="111">
        <v>0.80980324074074073</v>
      </c>
      <c r="D84" s="111">
        <f t="shared" si="46"/>
        <v>0.46190972222222221</v>
      </c>
      <c r="E84" s="112">
        <f t="shared" si="40"/>
        <v>0.19019675925925927</v>
      </c>
      <c r="F84" s="113">
        <f t="shared" si="47"/>
        <v>0.27171296296296293</v>
      </c>
      <c r="G84" s="114">
        <f t="shared" si="41"/>
        <v>0.31519675925925927</v>
      </c>
      <c r="H84" s="111">
        <f t="shared" si="42"/>
        <v>0.14671296296296293</v>
      </c>
      <c r="I84" s="111"/>
      <c r="J84" s="102" t="s">
        <v>285</v>
      </c>
      <c r="K84" s="101">
        <v>0.29219907407407408</v>
      </c>
      <c r="L84" s="101">
        <v>0.77506944444444448</v>
      </c>
      <c r="M84" s="101">
        <f t="shared" si="48"/>
        <v>0.51712962962962961</v>
      </c>
      <c r="N84" s="101">
        <f t="shared" si="49"/>
        <v>0.22493055555555552</v>
      </c>
      <c r="O84" s="115">
        <f t="shared" si="50"/>
        <v>0.29219907407407408</v>
      </c>
      <c r="P84" s="115">
        <f t="shared" si="51"/>
        <v>0.34993055555555552</v>
      </c>
      <c r="Q84" s="101">
        <f t="shared" si="52"/>
        <v>0.16719907407407408</v>
      </c>
      <c r="R84" s="111"/>
      <c r="S84" s="110" t="s">
        <v>286</v>
      </c>
      <c r="T84" s="101">
        <v>0.27429398148148149</v>
      </c>
      <c r="U84" s="101">
        <v>0.70306712962962958</v>
      </c>
      <c r="V84" s="101">
        <f t="shared" si="53"/>
        <v>0.57122685185185196</v>
      </c>
      <c r="W84" s="101">
        <f t="shared" si="43"/>
        <v>0.29693287037037042</v>
      </c>
      <c r="X84" s="115">
        <f t="shared" si="54"/>
        <v>0.27429398148148149</v>
      </c>
      <c r="Y84" s="115">
        <f t="shared" si="44"/>
        <v>0.42193287037037042</v>
      </c>
      <c r="Z84" s="101">
        <f t="shared" si="45"/>
        <v>0.14929398148148149</v>
      </c>
      <c r="AA84" s="111"/>
      <c r="AB84" s="102" t="s">
        <v>462</v>
      </c>
      <c r="AC84" s="111">
        <v>0.29752314814814812</v>
      </c>
      <c r="AD84" s="111">
        <v>0.68978009259259254</v>
      </c>
      <c r="AE84" s="111">
        <f t="shared" si="55"/>
        <v>0.60774305555555563</v>
      </c>
      <c r="AF84" s="112">
        <f t="shared" si="56"/>
        <v>0.31021990740740746</v>
      </c>
      <c r="AG84" s="133">
        <f t="shared" si="57"/>
        <v>0.29752314814814812</v>
      </c>
      <c r="AH84" s="114">
        <f t="shared" si="58"/>
        <v>0.43521990740740746</v>
      </c>
      <c r="AI84" s="111">
        <f t="shared" si="59"/>
        <v>0.17252314814814812</v>
      </c>
    </row>
    <row r="85" spans="1:35">
      <c r="A85" s="96" t="s">
        <v>463</v>
      </c>
      <c r="B85" s="111">
        <v>0.2723842592592593</v>
      </c>
      <c r="C85" s="111">
        <v>0.80866898148148147</v>
      </c>
      <c r="D85" s="111">
        <f t="shared" si="46"/>
        <v>0.46371527777777782</v>
      </c>
      <c r="E85" s="112">
        <f t="shared" si="40"/>
        <v>0.19133101851851853</v>
      </c>
      <c r="F85" s="113">
        <f t="shared" si="47"/>
        <v>0.2723842592592593</v>
      </c>
      <c r="G85" s="114">
        <f t="shared" si="41"/>
        <v>0.31633101851851853</v>
      </c>
      <c r="H85" s="111">
        <f t="shared" si="42"/>
        <v>0.1473842592592593</v>
      </c>
      <c r="I85" s="111"/>
      <c r="J85" s="102" t="s">
        <v>288</v>
      </c>
      <c r="K85" s="101">
        <v>0.29291666666666666</v>
      </c>
      <c r="L85" s="101">
        <v>0.77394675925925915</v>
      </c>
      <c r="M85" s="101">
        <f t="shared" si="48"/>
        <v>0.51896990740740745</v>
      </c>
      <c r="N85" s="101">
        <f t="shared" si="49"/>
        <v>0.22605324074074085</v>
      </c>
      <c r="O85" s="115">
        <f t="shared" si="50"/>
        <v>0.29291666666666666</v>
      </c>
      <c r="P85" s="115">
        <f t="shared" si="51"/>
        <v>0.35105324074074085</v>
      </c>
      <c r="Q85" s="101">
        <f t="shared" si="52"/>
        <v>0.16791666666666666</v>
      </c>
      <c r="R85" s="111"/>
      <c r="S85" s="96" t="s">
        <v>289</v>
      </c>
      <c r="T85" s="101">
        <v>0.27511574074074074</v>
      </c>
      <c r="U85" s="101">
        <v>0.7023032407407408</v>
      </c>
      <c r="V85" s="101">
        <f t="shared" si="53"/>
        <v>0.57281249999999995</v>
      </c>
      <c r="W85" s="101">
        <f t="shared" si="43"/>
        <v>0.2976967592592592</v>
      </c>
      <c r="X85" s="115">
        <f t="shared" si="54"/>
        <v>0.27511574074074074</v>
      </c>
      <c r="Y85" s="115">
        <f t="shared" si="44"/>
        <v>0.4226967592592592</v>
      </c>
      <c r="Z85" s="101">
        <f t="shared" si="45"/>
        <v>0.15011574074074074</v>
      </c>
      <c r="AA85" s="111"/>
      <c r="AB85" s="102" t="s">
        <v>463</v>
      </c>
      <c r="AC85" s="111">
        <v>0.2981712962962963</v>
      </c>
      <c r="AD85" s="111">
        <v>0.68972222222222224</v>
      </c>
      <c r="AE85" s="111">
        <f t="shared" si="55"/>
        <v>0.608449074074074</v>
      </c>
      <c r="AF85" s="112">
        <f t="shared" si="56"/>
        <v>0.31027777777777776</v>
      </c>
      <c r="AG85" s="133">
        <f t="shared" si="57"/>
        <v>0.2981712962962963</v>
      </c>
      <c r="AH85" s="114">
        <f t="shared" si="58"/>
        <v>0.43527777777777776</v>
      </c>
      <c r="AI85" s="111">
        <f t="shared" si="59"/>
        <v>0.1731712962962963</v>
      </c>
    </row>
    <row r="86" spans="1:35">
      <c r="A86" s="96" t="s">
        <v>464</v>
      </c>
      <c r="B86" s="111">
        <v>0.27305555555555555</v>
      </c>
      <c r="C86" s="111">
        <v>0.80752314814814818</v>
      </c>
      <c r="D86" s="111">
        <f t="shared" si="46"/>
        <v>0.46553240740740737</v>
      </c>
      <c r="E86" s="112">
        <f t="shared" si="40"/>
        <v>0.19247685185185182</v>
      </c>
      <c r="F86" s="113">
        <f t="shared" si="47"/>
        <v>0.27305555555555555</v>
      </c>
      <c r="G86" s="114">
        <f t="shared" si="41"/>
        <v>0.31747685185185182</v>
      </c>
      <c r="H86" s="111">
        <f t="shared" si="42"/>
        <v>0.14805555555555555</v>
      </c>
      <c r="I86" s="111"/>
      <c r="J86" s="102" t="s">
        <v>291</v>
      </c>
      <c r="K86" s="101">
        <v>0.29363425925925929</v>
      </c>
      <c r="L86" s="101">
        <v>0.77282407407407405</v>
      </c>
      <c r="M86" s="101">
        <f t="shared" si="48"/>
        <v>0.52081018518518518</v>
      </c>
      <c r="N86" s="101">
        <f t="shared" si="49"/>
        <v>0.22717592592592595</v>
      </c>
      <c r="O86" s="115">
        <f t="shared" si="50"/>
        <v>0.29363425925925929</v>
      </c>
      <c r="P86" s="115">
        <f t="shared" si="51"/>
        <v>0.35217592592592595</v>
      </c>
      <c r="Q86" s="101">
        <f t="shared" si="52"/>
        <v>0.16863425925925929</v>
      </c>
      <c r="R86" s="111"/>
      <c r="S86" s="96" t="s">
        <v>292</v>
      </c>
      <c r="T86" s="101">
        <v>0.27592592592592591</v>
      </c>
      <c r="U86" s="101">
        <v>0.70156249999999998</v>
      </c>
      <c r="V86" s="101">
        <f t="shared" si="53"/>
        <v>0.57436342592592593</v>
      </c>
      <c r="W86" s="101">
        <f t="shared" si="43"/>
        <v>0.29843750000000002</v>
      </c>
      <c r="X86" s="115">
        <f t="shared" si="54"/>
        <v>0.27592592592592591</v>
      </c>
      <c r="Y86" s="115">
        <f t="shared" si="44"/>
        <v>0.42343750000000002</v>
      </c>
      <c r="Z86" s="101">
        <f t="shared" si="45"/>
        <v>0.15092592592592591</v>
      </c>
      <c r="AA86" s="111"/>
      <c r="AB86" s="102" t="s">
        <v>464</v>
      </c>
      <c r="AC86" s="111">
        <v>0.29880787037037038</v>
      </c>
      <c r="AD86" s="111">
        <v>0.6896874999999999</v>
      </c>
      <c r="AE86" s="111">
        <f t="shared" si="55"/>
        <v>0.60912037037037048</v>
      </c>
      <c r="AF86" s="112">
        <f t="shared" si="56"/>
        <v>0.3103125000000001</v>
      </c>
      <c r="AG86" s="133">
        <f t="shared" si="57"/>
        <v>0.29880787037037038</v>
      </c>
      <c r="AH86" s="114">
        <f t="shared" si="58"/>
        <v>0.4353125000000001</v>
      </c>
      <c r="AI86" s="111">
        <f t="shared" si="59"/>
        <v>0.17380787037037038</v>
      </c>
    </row>
    <row r="87" spans="1:35">
      <c r="A87" s="96" t="s">
        <v>465</v>
      </c>
      <c r="B87" s="111">
        <v>0.27372685185185186</v>
      </c>
      <c r="C87" s="111">
        <v>0.80637731481481489</v>
      </c>
      <c r="D87" s="111">
        <f t="shared" si="46"/>
        <v>0.46734953703703697</v>
      </c>
      <c r="E87" s="112">
        <f t="shared" si="40"/>
        <v>0.19362268518518511</v>
      </c>
      <c r="F87" s="113">
        <f t="shared" si="47"/>
        <v>0.27372685185185186</v>
      </c>
      <c r="G87" s="114">
        <f t="shared" si="41"/>
        <v>0.31862268518518511</v>
      </c>
      <c r="H87" s="111">
        <f t="shared" si="42"/>
        <v>0.14872685185185186</v>
      </c>
      <c r="I87" s="111"/>
      <c r="J87" s="117" t="s">
        <v>294</v>
      </c>
      <c r="K87" s="101">
        <v>0.29435185185185186</v>
      </c>
      <c r="L87" s="101">
        <v>0.77171296296296299</v>
      </c>
      <c r="M87" s="101">
        <f t="shared" si="48"/>
        <v>0.52263888888888888</v>
      </c>
      <c r="N87" s="101">
        <f t="shared" si="49"/>
        <v>0.22828703703703701</v>
      </c>
      <c r="O87" s="115">
        <f t="shared" si="50"/>
        <v>0.29435185185185186</v>
      </c>
      <c r="P87" s="115">
        <f t="shared" si="51"/>
        <v>0.35328703703703701</v>
      </c>
      <c r="Q87" s="101">
        <f t="shared" si="52"/>
        <v>0.16935185185185186</v>
      </c>
      <c r="R87" s="111"/>
      <c r="S87" s="96" t="s">
        <v>295</v>
      </c>
      <c r="T87" s="101">
        <v>0.27674768518518517</v>
      </c>
      <c r="U87" s="101">
        <v>0.70084490740740746</v>
      </c>
      <c r="V87" s="101">
        <f t="shared" si="53"/>
        <v>0.57590277777777765</v>
      </c>
      <c r="W87" s="101">
        <f t="shared" si="43"/>
        <v>0.29915509259259254</v>
      </c>
      <c r="X87" s="115">
        <f t="shared" si="54"/>
        <v>0.27674768518518517</v>
      </c>
      <c r="Y87" s="115">
        <f t="shared" si="44"/>
        <v>0.42415509259259254</v>
      </c>
      <c r="Z87" s="101">
        <f t="shared" si="45"/>
        <v>0.15174768518518517</v>
      </c>
      <c r="AA87" s="111"/>
      <c r="AB87" s="102" t="s">
        <v>465</v>
      </c>
      <c r="AC87" s="111">
        <v>0.29942129629629627</v>
      </c>
      <c r="AD87" s="111">
        <v>0.6896874999999999</v>
      </c>
      <c r="AE87" s="111">
        <f t="shared" si="55"/>
        <v>0.60973379629629632</v>
      </c>
      <c r="AF87" s="112">
        <f t="shared" si="56"/>
        <v>0.3103125000000001</v>
      </c>
      <c r="AG87" s="133">
        <f t="shared" si="57"/>
        <v>0.29942129629629627</v>
      </c>
      <c r="AH87" s="114">
        <f t="shared" si="58"/>
        <v>0.4353125000000001</v>
      </c>
      <c r="AI87" s="111">
        <f t="shared" si="59"/>
        <v>0.17442129629629627</v>
      </c>
    </row>
    <row r="88" spans="1:35">
      <c r="A88" s="96" t="s">
        <v>466</v>
      </c>
      <c r="B88" s="111">
        <v>0.27439814814814817</v>
      </c>
      <c r="C88" s="111">
        <v>0.80521990740740745</v>
      </c>
      <c r="D88" s="111">
        <f t="shared" si="46"/>
        <v>0.46917824074074072</v>
      </c>
      <c r="E88" s="112">
        <f t="shared" si="40"/>
        <v>0.19478009259259255</v>
      </c>
      <c r="F88" s="113">
        <f t="shared" si="47"/>
        <v>0.27439814814814817</v>
      </c>
      <c r="G88" s="114">
        <f t="shared" si="41"/>
        <v>0.31978009259259255</v>
      </c>
      <c r="H88" s="111">
        <f t="shared" si="42"/>
        <v>0.14939814814814817</v>
      </c>
      <c r="I88" s="111"/>
      <c r="J88" s="102" t="s">
        <v>297</v>
      </c>
      <c r="K88" s="101">
        <v>0.29508101851851853</v>
      </c>
      <c r="L88" s="101">
        <v>0.77061342592592597</v>
      </c>
      <c r="M88" s="101">
        <f t="shared" si="48"/>
        <v>0.52446759259259257</v>
      </c>
      <c r="N88" s="101">
        <f t="shared" si="49"/>
        <v>0.22938657407407403</v>
      </c>
      <c r="O88" s="115">
        <f t="shared" si="50"/>
        <v>0.29508101851851853</v>
      </c>
      <c r="P88" s="115">
        <f t="shared" si="51"/>
        <v>0.35438657407407403</v>
      </c>
      <c r="Q88" s="101">
        <f t="shared" si="52"/>
        <v>0.17008101851851853</v>
      </c>
      <c r="R88" s="111"/>
      <c r="S88" s="96" t="s">
        <v>298</v>
      </c>
      <c r="T88" s="101">
        <v>0.27755787037037033</v>
      </c>
      <c r="U88" s="101">
        <v>0.70013888888888898</v>
      </c>
      <c r="V88" s="101">
        <f t="shared" si="53"/>
        <v>0.57741898148148141</v>
      </c>
      <c r="W88" s="101">
        <f t="shared" si="43"/>
        <v>0.29986111111111102</v>
      </c>
      <c r="X88" s="115">
        <f t="shared" si="54"/>
        <v>0.27755787037037033</v>
      </c>
      <c r="Y88" s="115">
        <f t="shared" si="44"/>
        <v>0.42486111111111102</v>
      </c>
      <c r="Z88" s="101">
        <f t="shared" si="45"/>
        <v>0.15255787037037033</v>
      </c>
      <c r="AA88" s="111"/>
      <c r="AB88" s="102" t="s">
        <v>466</v>
      </c>
      <c r="AC88" s="111">
        <v>0.30003472222222222</v>
      </c>
      <c r="AD88" s="111">
        <v>0.6897106481481482</v>
      </c>
      <c r="AE88" s="111">
        <f t="shared" si="55"/>
        <v>0.61032407407407407</v>
      </c>
      <c r="AF88" s="112">
        <f t="shared" si="56"/>
        <v>0.3102893518518518</v>
      </c>
      <c r="AG88" s="133">
        <f t="shared" si="57"/>
        <v>0.30003472222222222</v>
      </c>
      <c r="AH88" s="114">
        <f t="shared" si="58"/>
        <v>0.4352893518518518</v>
      </c>
      <c r="AI88" s="111">
        <f t="shared" si="59"/>
        <v>0.17503472222222222</v>
      </c>
    </row>
    <row r="89" spans="1:35">
      <c r="A89" s="110" t="s">
        <v>467</v>
      </c>
      <c r="B89" s="111">
        <v>0.27506944444444442</v>
      </c>
      <c r="C89" s="111">
        <v>0.80406250000000001</v>
      </c>
      <c r="D89" s="111">
        <f t="shared" si="46"/>
        <v>0.47100694444444441</v>
      </c>
      <c r="E89" s="112">
        <f t="shared" si="40"/>
        <v>0.19593749999999999</v>
      </c>
      <c r="F89" s="113">
        <f t="shared" si="47"/>
        <v>0.27506944444444442</v>
      </c>
      <c r="G89" s="114">
        <f t="shared" si="41"/>
        <v>0.32093749999999999</v>
      </c>
      <c r="H89" s="111">
        <f t="shared" si="42"/>
        <v>0.15006944444444442</v>
      </c>
      <c r="I89" s="111"/>
      <c r="J89" s="102" t="s">
        <v>300</v>
      </c>
      <c r="K89" s="101">
        <v>0.29579861111111111</v>
      </c>
      <c r="L89" s="101">
        <v>0.76951388888888894</v>
      </c>
      <c r="M89" s="101">
        <f t="shared" si="48"/>
        <v>0.52628472222222222</v>
      </c>
      <c r="N89" s="101">
        <f t="shared" si="49"/>
        <v>0.23048611111111106</v>
      </c>
      <c r="O89" s="115">
        <f t="shared" si="50"/>
        <v>0.29579861111111111</v>
      </c>
      <c r="P89" s="115">
        <f t="shared" si="51"/>
        <v>0.35548611111111106</v>
      </c>
      <c r="Q89" s="101">
        <f t="shared" si="52"/>
        <v>0.17079861111111111</v>
      </c>
      <c r="R89" s="111"/>
      <c r="S89" s="96" t="s">
        <v>301</v>
      </c>
      <c r="T89" s="101">
        <v>0.27837962962962964</v>
      </c>
      <c r="U89" s="101">
        <v>0.69945601851851846</v>
      </c>
      <c r="V89" s="101">
        <f t="shared" si="53"/>
        <v>0.57892361111111112</v>
      </c>
      <c r="W89" s="101">
        <f t="shared" si="43"/>
        <v>0.30054398148148154</v>
      </c>
      <c r="X89" s="115">
        <f t="shared" si="54"/>
        <v>0.27837962962962964</v>
      </c>
      <c r="Y89" s="115">
        <f t="shared" si="44"/>
        <v>0.42554398148148154</v>
      </c>
      <c r="Z89" s="101">
        <f t="shared" si="45"/>
        <v>0.15337962962962964</v>
      </c>
      <c r="AA89" s="111"/>
      <c r="AB89" s="117" t="s">
        <v>467</v>
      </c>
      <c r="AC89" s="111">
        <v>0.30061342592592594</v>
      </c>
      <c r="AD89" s="111">
        <v>0.68975694444444446</v>
      </c>
      <c r="AE89" s="111">
        <f t="shared" si="55"/>
        <v>0.61085648148148142</v>
      </c>
      <c r="AF89" s="112">
        <f t="shared" si="56"/>
        <v>0.31024305555555554</v>
      </c>
      <c r="AG89" s="133">
        <f t="shared" si="57"/>
        <v>0.30061342592592594</v>
      </c>
      <c r="AH89" s="114">
        <f t="shared" si="58"/>
        <v>0.43524305555555554</v>
      </c>
      <c r="AI89" s="111">
        <f t="shared" si="59"/>
        <v>0.17561342592592594</v>
      </c>
    </row>
    <row r="90" spans="1:35">
      <c r="A90" s="96" t="s">
        <v>468</v>
      </c>
      <c r="B90" s="111">
        <v>0.27574074074074073</v>
      </c>
      <c r="C90" s="111">
        <v>0.80290509259259257</v>
      </c>
      <c r="D90" s="111">
        <f t="shared" si="46"/>
        <v>0.47283564814814816</v>
      </c>
      <c r="E90" s="112">
        <f t="shared" si="40"/>
        <v>0.19709490740740743</v>
      </c>
      <c r="F90" s="113">
        <f t="shared" si="47"/>
        <v>0.27574074074074073</v>
      </c>
      <c r="G90" s="114">
        <f t="shared" si="41"/>
        <v>0.32209490740740743</v>
      </c>
      <c r="H90" s="111">
        <f t="shared" si="42"/>
        <v>0.15074074074074073</v>
      </c>
      <c r="I90" s="111"/>
      <c r="J90" s="102" t="s">
        <v>303</v>
      </c>
      <c r="K90" s="101">
        <v>0.29653935185185182</v>
      </c>
      <c r="L90" s="101">
        <v>0.76842592592592596</v>
      </c>
      <c r="M90" s="101">
        <f t="shared" si="48"/>
        <v>0.52811342592592592</v>
      </c>
      <c r="N90" s="101">
        <f t="shared" si="49"/>
        <v>0.23157407407407404</v>
      </c>
      <c r="O90" s="115">
        <f t="shared" si="50"/>
        <v>0.29653935185185182</v>
      </c>
      <c r="P90" s="115">
        <f t="shared" si="51"/>
        <v>0.35657407407407404</v>
      </c>
      <c r="Q90" s="101">
        <f t="shared" si="52"/>
        <v>0.17153935185185182</v>
      </c>
      <c r="R90" s="111"/>
      <c r="S90" s="96" t="s">
        <v>304</v>
      </c>
      <c r="T90" s="101">
        <v>0.27918981481481481</v>
      </c>
      <c r="U90" s="101">
        <v>0.69879629629629625</v>
      </c>
      <c r="V90" s="101">
        <f t="shared" si="53"/>
        <v>0.5803935185185185</v>
      </c>
      <c r="W90" s="101">
        <f t="shared" si="43"/>
        <v>0.30120370370370375</v>
      </c>
      <c r="X90" s="115">
        <f t="shared" si="54"/>
        <v>0.27918981481481481</v>
      </c>
      <c r="Y90" s="115">
        <f t="shared" si="44"/>
        <v>0.42620370370370375</v>
      </c>
      <c r="Z90" s="101">
        <f t="shared" si="45"/>
        <v>0.15418981481481481</v>
      </c>
      <c r="AA90" s="111"/>
      <c r="AB90" s="102" t="s">
        <v>468</v>
      </c>
      <c r="AC90" s="111">
        <v>0.30119212962962966</v>
      </c>
      <c r="AD90" s="111">
        <v>0.68982638888888881</v>
      </c>
      <c r="AE90" s="111">
        <f t="shared" si="55"/>
        <v>0.6113657407407409</v>
      </c>
      <c r="AF90" s="112">
        <f t="shared" si="56"/>
        <v>0.31017361111111119</v>
      </c>
      <c r="AG90" s="133">
        <f t="shared" si="57"/>
        <v>0.30119212962962966</v>
      </c>
      <c r="AH90" s="114">
        <f t="shared" si="58"/>
        <v>0.43517361111111119</v>
      </c>
      <c r="AI90" s="111">
        <f t="shared" si="59"/>
        <v>0.17619212962962966</v>
      </c>
    </row>
    <row r="91" spans="1:35">
      <c r="A91" s="96" t="s">
        <v>469</v>
      </c>
      <c r="B91" s="111">
        <v>0.27641203703703704</v>
      </c>
      <c r="C91" s="111">
        <v>0.80174768518518524</v>
      </c>
      <c r="D91" s="111">
        <f t="shared" si="46"/>
        <v>0.4746643518518518</v>
      </c>
      <c r="E91" s="112">
        <f t="shared" si="40"/>
        <v>0.19825231481481476</v>
      </c>
      <c r="F91" s="113">
        <f t="shared" si="47"/>
        <v>0.27641203703703704</v>
      </c>
      <c r="G91" s="114">
        <f t="shared" si="41"/>
        <v>0.32325231481481476</v>
      </c>
      <c r="H91" s="111">
        <f t="shared" si="42"/>
        <v>0.15141203703703704</v>
      </c>
      <c r="I91" s="111"/>
      <c r="J91" s="102" t="s">
        <v>306</v>
      </c>
      <c r="K91" s="101">
        <v>0.29726851851851849</v>
      </c>
      <c r="L91" s="101">
        <v>0.76734953703703701</v>
      </c>
      <c r="M91" s="101">
        <f t="shared" si="48"/>
        <v>0.52991898148148153</v>
      </c>
      <c r="N91" s="101">
        <f t="shared" si="49"/>
        <v>0.23265046296296299</v>
      </c>
      <c r="O91" s="115">
        <f t="shared" si="50"/>
        <v>0.29726851851851849</v>
      </c>
      <c r="P91" s="115">
        <f t="shared" si="51"/>
        <v>0.35765046296296299</v>
      </c>
      <c r="Q91" s="101">
        <f t="shared" si="52"/>
        <v>0.17226851851851849</v>
      </c>
      <c r="R91" s="111"/>
      <c r="S91" s="110" t="s">
        <v>307</v>
      </c>
      <c r="T91" s="101">
        <v>0.28001157407407407</v>
      </c>
      <c r="U91" s="101">
        <v>0.69815972222222233</v>
      </c>
      <c r="V91" s="101">
        <f t="shared" si="53"/>
        <v>0.58185185185185173</v>
      </c>
      <c r="W91" s="101">
        <f t="shared" si="43"/>
        <v>0.30184027777777767</v>
      </c>
      <c r="X91" s="115">
        <f t="shared" si="54"/>
        <v>0.28001157407407407</v>
      </c>
      <c r="Y91" s="115">
        <f t="shared" si="44"/>
        <v>0.42684027777777767</v>
      </c>
      <c r="Z91" s="101">
        <f t="shared" si="45"/>
        <v>0.15501157407407407</v>
      </c>
      <c r="AA91" s="111"/>
      <c r="AB91" s="102" t="s">
        <v>469</v>
      </c>
      <c r="AC91" s="111">
        <v>0.30173611111111109</v>
      </c>
      <c r="AD91" s="111">
        <v>0.6899305555555556</v>
      </c>
      <c r="AE91" s="111">
        <f t="shared" si="55"/>
        <v>0.61180555555555549</v>
      </c>
      <c r="AF91" s="112">
        <f t="shared" si="56"/>
        <v>0.3100694444444444</v>
      </c>
      <c r="AG91" s="133">
        <f t="shared" si="57"/>
        <v>0.30173611111111109</v>
      </c>
      <c r="AH91" s="114">
        <f t="shared" si="58"/>
        <v>0.4350694444444444</v>
      </c>
      <c r="AI91" s="111">
        <f t="shared" si="59"/>
        <v>0.17673611111111109</v>
      </c>
    </row>
    <row r="92" spans="1:35">
      <c r="A92" s="96" t="s">
        <v>470</v>
      </c>
      <c r="B92" s="111">
        <v>0.27708333333333335</v>
      </c>
      <c r="C92" s="111">
        <v>0.80057870370370365</v>
      </c>
      <c r="D92" s="111">
        <f t="shared" si="46"/>
        <v>0.47650462962962969</v>
      </c>
      <c r="E92" s="112">
        <f t="shared" si="40"/>
        <v>0.19942129629629635</v>
      </c>
      <c r="F92" s="113">
        <f t="shared" si="47"/>
        <v>0.27708333333333335</v>
      </c>
      <c r="G92" s="114">
        <f t="shared" si="41"/>
        <v>0.32442129629629635</v>
      </c>
      <c r="H92" s="111">
        <f t="shared" si="42"/>
        <v>0.15208333333333335</v>
      </c>
      <c r="I92" s="111"/>
      <c r="J92" s="102" t="s">
        <v>309</v>
      </c>
      <c r="K92" s="101">
        <v>0.29800925925925925</v>
      </c>
      <c r="L92" s="101">
        <v>0.76627314814814806</v>
      </c>
      <c r="M92" s="101">
        <f t="shared" si="48"/>
        <v>0.53173611111111119</v>
      </c>
      <c r="N92" s="101">
        <f t="shared" si="49"/>
        <v>0.23372685185185194</v>
      </c>
      <c r="O92" s="115">
        <f t="shared" si="50"/>
        <v>0.29800925925925925</v>
      </c>
      <c r="P92" s="115">
        <f t="shared" si="51"/>
        <v>0.35872685185185194</v>
      </c>
      <c r="Q92" s="101">
        <f t="shared" si="52"/>
        <v>0.17300925925925925</v>
      </c>
      <c r="R92" s="111"/>
      <c r="S92" s="96" t="s">
        <v>310</v>
      </c>
      <c r="T92" s="101">
        <v>0.28082175925925928</v>
      </c>
      <c r="U92" s="101">
        <v>0.69753472222222224</v>
      </c>
      <c r="V92" s="101">
        <f t="shared" si="53"/>
        <v>0.5832870370370371</v>
      </c>
      <c r="W92" s="101">
        <f t="shared" si="43"/>
        <v>0.30246527777777776</v>
      </c>
      <c r="X92" s="115">
        <f t="shared" si="54"/>
        <v>0.28082175925925928</v>
      </c>
      <c r="Y92" s="115">
        <f t="shared" si="44"/>
        <v>0.42746527777777776</v>
      </c>
      <c r="Z92" s="101">
        <f t="shared" si="45"/>
        <v>0.15582175925925928</v>
      </c>
      <c r="AA92" s="111"/>
      <c r="AB92" s="102" t="s">
        <v>470</v>
      </c>
      <c r="AC92" s="111">
        <v>0.30228009259259259</v>
      </c>
      <c r="AD92" s="111">
        <v>0.69005787037037036</v>
      </c>
      <c r="AE92" s="111">
        <f t="shared" si="55"/>
        <v>0.61222222222222222</v>
      </c>
      <c r="AF92" s="112">
        <f t="shared" si="56"/>
        <v>0.30994212962962964</v>
      </c>
      <c r="AG92" s="133">
        <f t="shared" si="57"/>
        <v>0.30228009259259259</v>
      </c>
      <c r="AH92" s="114">
        <f t="shared" si="58"/>
        <v>0.43494212962962964</v>
      </c>
      <c r="AI92" s="111">
        <f t="shared" si="59"/>
        <v>0.17728009259259259</v>
      </c>
    </row>
    <row r="93" spans="1:35">
      <c r="A93" s="96" t="s">
        <v>471</v>
      </c>
      <c r="B93" s="111">
        <v>0.27775462962962966</v>
      </c>
      <c r="C93" s="111">
        <v>0.79942129629629621</v>
      </c>
      <c r="D93" s="111">
        <f t="shared" si="46"/>
        <v>0.47833333333333344</v>
      </c>
      <c r="E93" s="112">
        <f t="shared" si="40"/>
        <v>0.20057870370370379</v>
      </c>
      <c r="F93" s="113">
        <f t="shared" si="47"/>
        <v>0.27775462962962966</v>
      </c>
      <c r="G93" s="114">
        <f t="shared" si="41"/>
        <v>0.32557870370370379</v>
      </c>
      <c r="H93" s="111">
        <f t="shared" si="42"/>
        <v>0.15275462962962966</v>
      </c>
      <c r="I93" s="111"/>
      <c r="J93" s="102" t="s">
        <v>312</v>
      </c>
      <c r="K93" s="101">
        <v>0.29875000000000002</v>
      </c>
      <c r="L93" s="101">
        <v>0.76520833333333327</v>
      </c>
      <c r="M93" s="101">
        <f t="shared" si="48"/>
        <v>0.5335416666666668</v>
      </c>
      <c r="N93" s="101">
        <f t="shared" si="49"/>
        <v>0.23479166666666673</v>
      </c>
      <c r="O93" s="115">
        <f t="shared" si="50"/>
        <v>0.29875000000000002</v>
      </c>
      <c r="P93" s="115">
        <f t="shared" si="51"/>
        <v>0.35979166666666673</v>
      </c>
      <c r="Q93" s="101">
        <f t="shared" si="52"/>
        <v>0.17375000000000002</v>
      </c>
      <c r="R93" s="111"/>
      <c r="S93" s="96" t="s">
        <v>313</v>
      </c>
      <c r="T93" s="101">
        <v>0.28164351851851849</v>
      </c>
      <c r="U93" s="101">
        <v>0.69693287037037033</v>
      </c>
      <c r="V93" s="101">
        <f t="shared" si="53"/>
        <v>0.5847106481481481</v>
      </c>
      <c r="W93" s="101">
        <f t="shared" si="43"/>
        <v>0.30306712962962967</v>
      </c>
      <c r="X93" s="115">
        <f t="shared" si="54"/>
        <v>0.28164351851851849</v>
      </c>
      <c r="Y93" s="115">
        <f t="shared" si="44"/>
        <v>0.42806712962962967</v>
      </c>
      <c r="Z93" s="101">
        <f t="shared" si="45"/>
        <v>0.15664351851851849</v>
      </c>
      <c r="AA93" s="111"/>
      <c r="AB93" s="102" t="s">
        <v>471</v>
      </c>
      <c r="AC93" s="111">
        <v>0.30278935185185185</v>
      </c>
      <c r="AD93" s="111">
        <v>0.69020833333333342</v>
      </c>
      <c r="AE93" s="111">
        <f t="shared" si="55"/>
        <v>0.61258101851851843</v>
      </c>
      <c r="AF93" s="112">
        <f t="shared" si="56"/>
        <v>0.30979166666666658</v>
      </c>
      <c r="AG93" s="133">
        <f t="shared" si="57"/>
        <v>0.30278935185185185</v>
      </c>
      <c r="AH93" s="114">
        <f t="shared" si="58"/>
        <v>0.43479166666666658</v>
      </c>
      <c r="AI93" s="111">
        <f t="shared" si="59"/>
        <v>0.17778935185185185</v>
      </c>
    </row>
    <row r="94" spans="1:35">
      <c r="A94" s="96" t="s">
        <v>472</v>
      </c>
      <c r="B94" s="111">
        <v>0.27842592592592591</v>
      </c>
      <c r="C94" s="111">
        <v>0.79825231481481485</v>
      </c>
      <c r="D94" s="111">
        <f t="shared" si="46"/>
        <v>0.48017361111111106</v>
      </c>
      <c r="E94" s="112">
        <f t="shared" si="40"/>
        <v>0.20174768518518515</v>
      </c>
      <c r="F94" s="113">
        <f t="shared" si="47"/>
        <v>0.27842592592592591</v>
      </c>
      <c r="G94" s="114">
        <f t="shared" si="41"/>
        <v>0.32674768518518515</v>
      </c>
      <c r="H94" s="111">
        <f t="shared" si="42"/>
        <v>0.15342592592592591</v>
      </c>
      <c r="I94" s="111"/>
      <c r="J94" s="117" t="s">
        <v>315</v>
      </c>
      <c r="K94" s="101">
        <v>0.29949074074074072</v>
      </c>
      <c r="L94" s="101">
        <v>0.76414351851851858</v>
      </c>
      <c r="M94" s="101">
        <f t="shared" si="48"/>
        <v>0.5353472222222222</v>
      </c>
      <c r="N94" s="101">
        <f t="shared" si="49"/>
        <v>0.23585648148148142</v>
      </c>
      <c r="O94" s="115">
        <f t="shared" si="50"/>
        <v>0.29949074074074072</v>
      </c>
      <c r="P94" s="115">
        <f t="shared" si="51"/>
        <v>0.36085648148148142</v>
      </c>
      <c r="Q94" s="101">
        <f t="shared" si="52"/>
        <v>0.17449074074074072</v>
      </c>
      <c r="R94" s="111"/>
      <c r="S94" s="96" t="s">
        <v>316</v>
      </c>
      <c r="T94" s="101">
        <v>0.28245370370370371</v>
      </c>
      <c r="U94" s="101">
        <v>0.69635416666666661</v>
      </c>
      <c r="V94" s="101">
        <f t="shared" si="53"/>
        <v>0.5860995370370371</v>
      </c>
      <c r="W94" s="101">
        <f t="shared" si="43"/>
        <v>0.30364583333333339</v>
      </c>
      <c r="X94" s="115">
        <f t="shared" si="54"/>
        <v>0.28245370370370371</v>
      </c>
      <c r="Y94" s="115">
        <f t="shared" si="44"/>
        <v>0.42864583333333339</v>
      </c>
      <c r="Z94" s="101">
        <f t="shared" si="45"/>
        <v>0.15745370370370371</v>
      </c>
      <c r="AA94" s="111"/>
      <c r="AB94" s="102" t="s">
        <v>472</v>
      </c>
      <c r="AC94" s="111">
        <v>0.30328703703703702</v>
      </c>
      <c r="AD94" s="111">
        <v>0.69039351851851849</v>
      </c>
      <c r="AE94" s="111">
        <f t="shared" si="55"/>
        <v>0.61289351851851848</v>
      </c>
      <c r="AF94" s="112">
        <f t="shared" si="56"/>
        <v>0.30960648148148151</v>
      </c>
      <c r="AG94" s="133">
        <f t="shared" si="57"/>
        <v>0.30328703703703702</v>
      </c>
      <c r="AH94" s="114">
        <f t="shared" si="58"/>
        <v>0.43460648148148151</v>
      </c>
      <c r="AI94" s="111">
        <f t="shared" si="59"/>
        <v>0.17828703703703702</v>
      </c>
    </row>
    <row r="95" spans="1:35">
      <c r="A95" s="96" t="s">
        <v>473</v>
      </c>
      <c r="B95" s="111">
        <v>0.27909722222222222</v>
      </c>
      <c r="C95" s="111">
        <v>0.79708333333333325</v>
      </c>
      <c r="D95" s="111">
        <f t="shared" si="46"/>
        <v>0.48201388888888896</v>
      </c>
      <c r="E95" s="112">
        <f t="shared" si="40"/>
        <v>0.20291666666666675</v>
      </c>
      <c r="F95" s="113">
        <f t="shared" si="47"/>
        <v>0.27909722222222222</v>
      </c>
      <c r="G95" s="114">
        <f t="shared" si="41"/>
        <v>0.32791666666666675</v>
      </c>
      <c r="H95" s="111">
        <f t="shared" si="42"/>
        <v>0.15409722222222222</v>
      </c>
      <c r="I95" s="111"/>
      <c r="J95" s="102" t="s">
        <v>318</v>
      </c>
      <c r="K95" s="101">
        <v>0.30024305555555558</v>
      </c>
      <c r="L95" s="101">
        <v>0.76310185185185186</v>
      </c>
      <c r="M95" s="101">
        <f t="shared" si="48"/>
        <v>0.53714120370370377</v>
      </c>
      <c r="N95" s="101">
        <f t="shared" si="49"/>
        <v>0.23689814814814814</v>
      </c>
      <c r="O95" s="115">
        <f t="shared" si="50"/>
        <v>0.30024305555555558</v>
      </c>
      <c r="P95" s="115">
        <f t="shared" si="51"/>
        <v>0.36189814814814814</v>
      </c>
      <c r="Q95" s="101">
        <f t="shared" si="52"/>
        <v>0.17524305555555558</v>
      </c>
      <c r="R95" s="111"/>
      <c r="S95" s="96" t="s">
        <v>319</v>
      </c>
      <c r="T95" s="101">
        <v>0.28326388888888893</v>
      </c>
      <c r="U95" s="101">
        <v>0.69579861111111108</v>
      </c>
      <c r="V95" s="101">
        <f t="shared" si="53"/>
        <v>0.58746527777777779</v>
      </c>
      <c r="W95" s="101">
        <f t="shared" si="43"/>
        <v>0.30420138888888892</v>
      </c>
      <c r="X95" s="115">
        <f t="shared" si="54"/>
        <v>0.28326388888888893</v>
      </c>
      <c r="Y95" s="115">
        <f t="shared" si="44"/>
        <v>0.42920138888888892</v>
      </c>
      <c r="Z95" s="101">
        <f t="shared" si="45"/>
        <v>0.15826388888888893</v>
      </c>
      <c r="AA95" s="111"/>
      <c r="AB95" s="102" t="s">
        <v>473</v>
      </c>
      <c r="AC95" s="111">
        <v>0.30376157407407406</v>
      </c>
      <c r="AD95" s="111">
        <v>0.69059027777777782</v>
      </c>
      <c r="AE95" s="111">
        <f t="shared" si="55"/>
        <v>0.6131712962962963</v>
      </c>
      <c r="AF95" s="112">
        <f t="shared" si="56"/>
        <v>0.30940972222222218</v>
      </c>
      <c r="AG95" s="133">
        <f t="shared" si="57"/>
        <v>0.30376157407407406</v>
      </c>
      <c r="AH95" s="114">
        <f t="shared" si="58"/>
        <v>0.43440972222222218</v>
      </c>
      <c r="AI95" s="111">
        <f t="shared" si="59"/>
        <v>0.17876157407407406</v>
      </c>
    </row>
    <row r="96" spans="1:35">
      <c r="A96" s="110" t="s">
        <v>474</v>
      </c>
      <c r="B96" s="111">
        <v>0.27976851851851853</v>
      </c>
      <c r="C96" s="111">
        <v>0.79591435185185189</v>
      </c>
      <c r="D96" s="111">
        <f t="shared" si="46"/>
        <v>0.48385416666666664</v>
      </c>
      <c r="E96" s="112">
        <f t="shared" si="40"/>
        <v>0.20408564814814811</v>
      </c>
      <c r="F96" s="113">
        <f t="shared" si="47"/>
        <v>0.27976851851851853</v>
      </c>
      <c r="G96" s="114">
        <f t="shared" si="41"/>
        <v>0.32908564814814811</v>
      </c>
      <c r="H96" s="111">
        <f t="shared" si="42"/>
        <v>0.15476851851851853</v>
      </c>
      <c r="I96" s="111"/>
      <c r="J96" s="102" t="s">
        <v>321</v>
      </c>
      <c r="K96" s="101">
        <v>0.30099537037037039</v>
      </c>
      <c r="L96" s="101">
        <v>0.76206018518518526</v>
      </c>
      <c r="M96" s="101">
        <f t="shared" si="48"/>
        <v>0.53893518518518513</v>
      </c>
      <c r="N96" s="101">
        <f t="shared" si="49"/>
        <v>0.23793981481481474</v>
      </c>
      <c r="O96" s="115">
        <f t="shared" si="50"/>
        <v>0.30099537037037039</v>
      </c>
      <c r="P96" s="115">
        <f t="shared" si="51"/>
        <v>0.36293981481481474</v>
      </c>
      <c r="Q96" s="101">
        <f t="shared" si="52"/>
        <v>0.17599537037037039</v>
      </c>
      <c r="R96" s="111"/>
      <c r="S96" s="96" t="s">
        <v>322</v>
      </c>
      <c r="T96" s="101">
        <v>0.2840625</v>
      </c>
      <c r="U96" s="101">
        <v>0.69526620370370373</v>
      </c>
      <c r="V96" s="101">
        <f t="shared" si="53"/>
        <v>0.58879629629629626</v>
      </c>
      <c r="W96" s="101">
        <f t="shared" si="43"/>
        <v>0.30473379629629627</v>
      </c>
      <c r="X96" s="115">
        <f t="shared" si="54"/>
        <v>0.2840625</v>
      </c>
      <c r="Y96" s="115">
        <f t="shared" si="44"/>
        <v>0.42973379629629627</v>
      </c>
      <c r="Z96" s="101">
        <f t="shared" si="45"/>
        <v>0.1590625</v>
      </c>
      <c r="AA96" s="111"/>
      <c r="AB96" s="117" t="s">
        <v>474</v>
      </c>
      <c r="AC96" s="111">
        <v>0.30422453703703706</v>
      </c>
      <c r="AD96" s="111">
        <v>0.69082175925925926</v>
      </c>
      <c r="AE96" s="111">
        <f t="shared" si="55"/>
        <v>0.61340277777777774</v>
      </c>
      <c r="AF96" s="112">
        <f t="shared" si="56"/>
        <v>0.30917824074074074</v>
      </c>
      <c r="AG96" s="133">
        <f t="shared" si="57"/>
        <v>0.30422453703703706</v>
      </c>
      <c r="AH96" s="114">
        <f t="shared" si="58"/>
        <v>0.43417824074074074</v>
      </c>
      <c r="AI96" s="111">
        <f t="shared" si="59"/>
        <v>0.17922453703703706</v>
      </c>
    </row>
    <row r="97" spans="1:35">
      <c r="A97" s="96" t="s">
        <v>475</v>
      </c>
      <c r="B97" s="111">
        <v>0.28045138888888888</v>
      </c>
      <c r="C97" s="111">
        <v>0.7947453703703703</v>
      </c>
      <c r="D97" s="111">
        <f t="shared" si="46"/>
        <v>0.48570601851851858</v>
      </c>
      <c r="E97" s="112">
        <f t="shared" si="40"/>
        <v>0.2052546296296297</v>
      </c>
      <c r="F97" s="113">
        <f t="shared" si="47"/>
        <v>0.28045138888888888</v>
      </c>
      <c r="G97" s="114">
        <f t="shared" si="41"/>
        <v>0.3302546296296297</v>
      </c>
      <c r="H97" s="111">
        <f t="shared" si="42"/>
        <v>0.15545138888888888</v>
      </c>
      <c r="I97" s="111"/>
      <c r="J97" s="102" t="s">
        <v>324</v>
      </c>
      <c r="K97" s="101">
        <v>0.30174768518518519</v>
      </c>
      <c r="L97" s="101">
        <v>0.76103009259259258</v>
      </c>
      <c r="M97" s="101">
        <f t="shared" si="48"/>
        <v>0.54071759259259267</v>
      </c>
      <c r="N97" s="101">
        <f t="shared" si="49"/>
        <v>0.23896990740740742</v>
      </c>
      <c r="O97" s="115">
        <f t="shared" si="50"/>
        <v>0.30174768518518519</v>
      </c>
      <c r="P97" s="115">
        <f t="shared" si="51"/>
        <v>0.36396990740740742</v>
      </c>
      <c r="Q97" s="101">
        <f t="shared" si="52"/>
        <v>0.17674768518518519</v>
      </c>
      <c r="R97" s="111"/>
      <c r="S97" s="96" t="s">
        <v>325</v>
      </c>
      <c r="T97" s="101">
        <v>0.28487268518518521</v>
      </c>
      <c r="U97" s="101">
        <v>0.69474537037037043</v>
      </c>
      <c r="V97" s="101">
        <f t="shared" si="53"/>
        <v>0.59012731481481473</v>
      </c>
      <c r="W97" s="101">
        <f t="shared" si="43"/>
        <v>0.30525462962962957</v>
      </c>
      <c r="X97" s="115">
        <f t="shared" si="54"/>
        <v>0.28487268518518521</v>
      </c>
      <c r="Y97" s="115">
        <f t="shared" si="44"/>
        <v>0.43025462962962957</v>
      </c>
      <c r="Z97" s="101">
        <f t="shared" si="45"/>
        <v>0.15987268518518521</v>
      </c>
      <c r="AA97" s="111"/>
      <c r="AB97" s="102" t="s">
        <v>475</v>
      </c>
      <c r="AC97" s="111">
        <v>0.30465277777777777</v>
      </c>
      <c r="AD97" s="111">
        <v>0.69107638888888889</v>
      </c>
      <c r="AE97" s="111">
        <f t="shared" si="55"/>
        <v>0.61357638888888888</v>
      </c>
      <c r="AF97" s="112">
        <f t="shared" si="56"/>
        <v>0.30892361111111111</v>
      </c>
      <c r="AG97" s="133">
        <f t="shared" si="57"/>
        <v>0.30465277777777777</v>
      </c>
      <c r="AH97" s="114">
        <f t="shared" si="58"/>
        <v>0.43392361111111111</v>
      </c>
      <c r="AI97" s="111">
        <f t="shared" si="59"/>
        <v>0.17965277777777777</v>
      </c>
    </row>
    <row r="98" spans="1:35">
      <c r="A98" s="96" t="s">
        <v>476</v>
      </c>
      <c r="B98" s="111">
        <v>0.28112268518518518</v>
      </c>
      <c r="C98" s="111">
        <v>0.79356481481481478</v>
      </c>
      <c r="D98" s="111">
        <f t="shared" si="46"/>
        <v>0.48755787037037041</v>
      </c>
      <c r="E98" s="112">
        <f t="shared" si="40"/>
        <v>0.20643518518518522</v>
      </c>
      <c r="F98" s="113">
        <f t="shared" si="47"/>
        <v>0.28112268518518518</v>
      </c>
      <c r="G98" s="114">
        <f t="shared" si="41"/>
        <v>0.33143518518518522</v>
      </c>
      <c r="H98" s="111">
        <f t="shared" si="42"/>
        <v>0.15612268518518518</v>
      </c>
      <c r="I98" s="111"/>
      <c r="J98" s="102" t="s">
        <v>327</v>
      </c>
      <c r="K98" s="101">
        <v>0.30251157407407409</v>
      </c>
      <c r="L98" s="101">
        <v>0.7600231481481482</v>
      </c>
      <c r="M98" s="101">
        <f t="shared" si="48"/>
        <v>0.54248842592592594</v>
      </c>
      <c r="N98" s="101">
        <f t="shared" si="49"/>
        <v>0.2399768518518518</v>
      </c>
      <c r="O98" s="115">
        <f t="shared" si="50"/>
        <v>0.30251157407407409</v>
      </c>
      <c r="P98" s="115">
        <f t="shared" si="51"/>
        <v>0.3649768518518518</v>
      </c>
      <c r="Q98" s="101">
        <f t="shared" si="52"/>
        <v>0.17751157407407409</v>
      </c>
      <c r="R98" s="111"/>
      <c r="S98" s="110" t="s">
        <v>328</v>
      </c>
      <c r="T98" s="101">
        <v>0.28567129629629628</v>
      </c>
      <c r="U98" s="101">
        <v>0.69425925925925924</v>
      </c>
      <c r="V98" s="101">
        <f t="shared" si="53"/>
        <v>0.59141203703703704</v>
      </c>
      <c r="W98" s="101">
        <f t="shared" si="43"/>
        <v>0.30574074074074076</v>
      </c>
      <c r="X98" s="115">
        <f t="shared" si="54"/>
        <v>0.28567129629629628</v>
      </c>
      <c r="Y98" s="115">
        <f t="shared" si="44"/>
        <v>0.43074074074074076</v>
      </c>
      <c r="Z98" s="101">
        <f t="shared" si="45"/>
        <v>0.16067129629629628</v>
      </c>
      <c r="AA98" s="111"/>
      <c r="AB98" s="102" t="s">
        <v>476</v>
      </c>
      <c r="AC98" s="111">
        <v>0.30506944444444445</v>
      </c>
      <c r="AD98" s="111">
        <v>0.69135416666666671</v>
      </c>
      <c r="AE98" s="111">
        <f t="shared" si="55"/>
        <v>0.61371527777777768</v>
      </c>
      <c r="AF98" s="112">
        <f t="shared" si="56"/>
        <v>0.30864583333333329</v>
      </c>
      <c r="AG98" s="133">
        <f t="shared" si="57"/>
        <v>0.30506944444444445</v>
      </c>
      <c r="AH98" s="114">
        <f t="shared" si="58"/>
        <v>0.43364583333333329</v>
      </c>
      <c r="AI98" s="111">
        <f t="shared" si="59"/>
        <v>0.18006944444444445</v>
      </c>
    </row>
    <row r="99" spans="1:35">
      <c r="A99" s="96" t="s">
        <v>477</v>
      </c>
      <c r="B99" s="111">
        <v>0.28180555555555559</v>
      </c>
      <c r="C99" s="111">
        <v>0.7923958333333333</v>
      </c>
      <c r="D99" s="111">
        <f t="shared" si="46"/>
        <v>0.48940972222222229</v>
      </c>
      <c r="E99" s="112">
        <f t="shared" si="40"/>
        <v>0.2076041666666667</v>
      </c>
      <c r="F99" s="113">
        <f t="shared" si="47"/>
        <v>0.28180555555555559</v>
      </c>
      <c r="G99" s="114">
        <f t="shared" si="41"/>
        <v>0.3326041666666667</v>
      </c>
      <c r="H99" s="111">
        <f t="shared" si="42"/>
        <v>0.15680555555555559</v>
      </c>
      <c r="I99" s="111"/>
      <c r="J99" s="102" t="s">
        <v>330</v>
      </c>
      <c r="K99" s="101">
        <v>0.30327546296296298</v>
      </c>
      <c r="L99" s="101">
        <v>0.75901620370370371</v>
      </c>
      <c r="M99" s="101">
        <f t="shared" si="48"/>
        <v>0.54425925925925922</v>
      </c>
      <c r="N99" s="101">
        <f t="shared" si="49"/>
        <v>0.24098379629629629</v>
      </c>
      <c r="O99" s="115">
        <f t="shared" si="50"/>
        <v>0.30327546296296298</v>
      </c>
      <c r="P99" s="115">
        <f t="shared" si="51"/>
        <v>0.36598379629629629</v>
      </c>
      <c r="Q99" s="101">
        <f t="shared" si="52"/>
        <v>0.17827546296296298</v>
      </c>
      <c r="R99" s="111"/>
      <c r="S99" s="96" t="s">
        <v>331</v>
      </c>
      <c r="T99" s="101">
        <v>0.28646990740740741</v>
      </c>
      <c r="U99" s="101">
        <v>0.69379629629629624</v>
      </c>
      <c r="V99" s="101">
        <f t="shared" si="53"/>
        <v>0.59267361111111116</v>
      </c>
      <c r="W99" s="101">
        <f t="shared" si="43"/>
        <v>0.30620370370370376</v>
      </c>
      <c r="X99" s="115">
        <f t="shared" si="54"/>
        <v>0.28646990740740741</v>
      </c>
      <c r="Y99" s="115">
        <f t="shared" si="44"/>
        <v>0.43120370370370376</v>
      </c>
      <c r="Z99" s="101">
        <f t="shared" si="45"/>
        <v>0.16146990740740741</v>
      </c>
      <c r="AA99" s="111"/>
      <c r="AB99" s="102" t="s">
        <v>477</v>
      </c>
      <c r="AC99" s="111">
        <v>0.30546296296296299</v>
      </c>
      <c r="AD99" s="111">
        <v>0.69166666666666676</v>
      </c>
      <c r="AE99" s="111">
        <f t="shared" si="55"/>
        <v>0.61379629629629617</v>
      </c>
      <c r="AF99" s="112">
        <f t="shared" si="56"/>
        <v>0.30833333333333324</v>
      </c>
      <c r="AG99" s="133">
        <f t="shared" si="57"/>
        <v>0.30546296296296299</v>
      </c>
      <c r="AH99" s="114">
        <f t="shared" si="58"/>
        <v>0.43333333333333324</v>
      </c>
      <c r="AI99" s="111">
        <f t="shared" si="59"/>
        <v>0.18046296296296299</v>
      </c>
    </row>
    <row r="100" spans="1:35">
      <c r="A100" s="96" t="s">
        <v>478</v>
      </c>
      <c r="B100" s="111">
        <v>0.28248842592592593</v>
      </c>
      <c r="C100" s="111">
        <v>0.79122685185185182</v>
      </c>
      <c r="D100" s="111">
        <f t="shared" si="46"/>
        <v>0.49126157407407411</v>
      </c>
      <c r="E100" s="112">
        <f t="shared" si="40"/>
        <v>0.20877314814814818</v>
      </c>
      <c r="F100" s="113">
        <f t="shared" si="47"/>
        <v>0.28248842592592593</v>
      </c>
      <c r="G100" s="114">
        <f t="shared" si="41"/>
        <v>0.33377314814814818</v>
      </c>
      <c r="H100" s="111">
        <f t="shared" si="42"/>
        <v>0.15748842592592593</v>
      </c>
      <c r="I100" s="111"/>
      <c r="J100" s="102" t="s">
        <v>333</v>
      </c>
      <c r="K100" s="101">
        <v>0.30405092592592592</v>
      </c>
      <c r="L100" s="101">
        <v>0.75802083333333325</v>
      </c>
      <c r="M100" s="101">
        <f t="shared" si="48"/>
        <v>0.54603009259259272</v>
      </c>
      <c r="N100" s="101">
        <f t="shared" si="49"/>
        <v>0.24197916666666675</v>
      </c>
      <c r="O100" s="115">
        <f t="shared" si="50"/>
        <v>0.30405092592592592</v>
      </c>
      <c r="P100" s="115">
        <f t="shared" si="51"/>
        <v>0.36697916666666675</v>
      </c>
      <c r="Q100" s="101">
        <f t="shared" si="52"/>
        <v>0.17905092592592592</v>
      </c>
      <c r="R100" s="111"/>
      <c r="S100" s="96" t="s">
        <v>334</v>
      </c>
      <c r="T100" s="101">
        <v>0.28725694444444444</v>
      </c>
      <c r="U100" s="101">
        <v>0.69335648148148143</v>
      </c>
      <c r="V100" s="101">
        <f t="shared" si="53"/>
        <v>0.59390046296296295</v>
      </c>
      <c r="W100" s="101">
        <f t="shared" si="43"/>
        <v>0.30664351851851857</v>
      </c>
      <c r="X100" s="115">
        <f t="shared" si="54"/>
        <v>0.28725694444444444</v>
      </c>
      <c r="Y100" s="115">
        <f t="shared" si="44"/>
        <v>0.43164351851851857</v>
      </c>
      <c r="Z100" s="101">
        <f t="shared" si="45"/>
        <v>0.16225694444444444</v>
      </c>
      <c r="AA100" s="111"/>
      <c r="AB100" s="102" t="s">
        <v>478</v>
      </c>
      <c r="AC100" s="111">
        <v>0.30583333333333335</v>
      </c>
      <c r="AD100" s="111">
        <v>0.69199074074074074</v>
      </c>
      <c r="AE100" s="111">
        <f t="shared" si="55"/>
        <v>0.61384259259259255</v>
      </c>
      <c r="AF100" s="112">
        <f t="shared" si="56"/>
        <v>0.30800925925925926</v>
      </c>
      <c r="AG100" s="133">
        <f t="shared" si="57"/>
        <v>0.30583333333333335</v>
      </c>
      <c r="AH100" s="114">
        <f t="shared" si="58"/>
        <v>0.43300925925925926</v>
      </c>
      <c r="AI100" s="111">
        <f t="shared" si="59"/>
        <v>0.18083333333333335</v>
      </c>
    </row>
    <row r="101" spans="1:35">
      <c r="A101" s="96" t="s">
        <v>479</v>
      </c>
      <c r="B101" s="111">
        <v>0.28315972222222224</v>
      </c>
      <c r="C101" s="111">
        <v>0.79005787037037034</v>
      </c>
      <c r="D101" s="111">
        <f t="shared" si="46"/>
        <v>0.4931018518518519</v>
      </c>
      <c r="E101" s="112">
        <f t="shared" si="40"/>
        <v>0.20994212962962966</v>
      </c>
      <c r="F101" s="113">
        <f t="shared" si="47"/>
        <v>0.28315972222222224</v>
      </c>
      <c r="G101" s="114">
        <f t="shared" si="41"/>
        <v>0.33494212962962966</v>
      </c>
      <c r="H101" s="111">
        <f t="shared" si="42"/>
        <v>0.15815972222222224</v>
      </c>
      <c r="I101" s="111"/>
      <c r="J101" s="117" t="s">
        <v>336</v>
      </c>
      <c r="K101" s="101">
        <v>0.30481481481481482</v>
      </c>
      <c r="L101" s="101">
        <v>0.75703703703703706</v>
      </c>
      <c r="M101" s="101">
        <f t="shared" si="48"/>
        <v>0.5477777777777777</v>
      </c>
      <c r="N101" s="101">
        <f t="shared" si="49"/>
        <v>0.24296296296296294</v>
      </c>
      <c r="O101" s="115">
        <f t="shared" si="50"/>
        <v>0.30481481481481482</v>
      </c>
      <c r="P101" s="115">
        <f t="shared" si="51"/>
        <v>0.36796296296296294</v>
      </c>
      <c r="Q101" s="101">
        <f t="shared" si="52"/>
        <v>0.17981481481481482</v>
      </c>
      <c r="R101" s="111"/>
      <c r="S101" s="96" t="s">
        <v>337</v>
      </c>
      <c r="T101" s="101">
        <v>0.28804398148148147</v>
      </c>
      <c r="U101" s="101">
        <v>0.69292824074074078</v>
      </c>
      <c r="V101" s="101">
        <f t="shared" si="53"/>
        <v>0.5951157407407407</v>
      </c>
      <c r="W101" s="101">
        <f t="shared" si="43"/>
        <v>0.30707175925925922</v>
      </c>
      <c r="X101" s="115">
        <f t="shared" si="54"/>
        <v>0.28804398148148147</v>
      </c>
      <c r="Y101" s="115">
        <f t="shared" si="44"/>
        <v>0.43207175925925922</v>
      </c>
      <c r="Z101" s="101">
        <f t="shared" si="45"/>
        <v>0.16304398148148147</v>
      </c>
      <c r="AA101" s="111"/>
      <c r="AB101" s="102" t="s">
        <v>479</v>
      </c>
      <c r="AC101" s="111">
        <v>0.30618055555555557</v>
      </c>
      <c r="AD101" s="111">
        <v>0.69234953703703705</v>
      </c>
      <c r="AE101" s="111">
        <f t="shared" si="55"/>
        <v>0.61383101851851851</v>
      </c>
      <c r="AF101" s="112">
        <f t="shared" si="56"/>
        <v>0.30765046296296295</v>
      </c>
      <c r="AG101" s="133">
        <f t="shared" si="57"/>
        <v>0.30618055555555557</v>
      </c>
      <c r="AH101" s="114">
        <f t="shared" si="58"/>
        <v>0.43265046296296295</v>
      </c>
      <c r="AI101" s="111">
        <f t="shared" si="59"/>
        <v>0.18118055555555557</v>
      </c>
    </row>
    <row r="102" spans="1:35">
      <c r="A102" s="96" t="s">
        <v>480</v>
      </c>
      <c r="B102" s="111">
        <v>0.28384259259259259</v>
      </c>
      <c r="C102" s="111">
        <v>0.78888888888888886</v>
      </c>
      <c r="D102" s="111">
        <f t="shared" si="46"/>
        <v>0.49495370370370373</v>
      </c>
      <c r="E102" s="112">
        <f t="shared" si="40"/>
        <v>0.21111111111111114</v>
      </c>
      <c r="F102" s="113">
        <f t="shared" si="47"/>
        <v>0.28384259259259259</v>
      </c>
      <c r="G102" s="114">
        <f t="shared" si="41"/>
        <v>0.33611111111111114</v>
      </c>
      <c r="H102" s="111">
        <f t="shared" si="42"/>
        <v>0.15884259259259259</v>
      </c>
      <c r="I102" s="111"/>
      <c r="J102" s="102" t="s">
        <v>339</v>
      </c>
      <c r="K102" s="101">
        <v>0.30559027777777775</v>
      </c>
      <c r="L102" s="101">
        <v>0.75606481481481491</v>
      </c>
      <c r="M102" s="101">
        <f t="shared" si="48"/>
        <v>0.5495254629629629</v>
      </c>
      <c r="N102" s="101">
        <f t="shared" si="49"/>
        <v>0.24393518518518509</v>
      </c>
      <c r="O102" s="115">
        <f t="shared" si="50"/>
        <v>0.30559027777777775</v>
      </c>
      <c r="P102" s="115">
        <f t="shared" si="51"/>
        <v>0.36893518518518509</v>
      </c>
      <c r="Q102" s="101">
        <f t="shared" si="52"/>
        <v>0.18059027777777775</v>
      </c>
      <c r="R102" s="111"/>
      <c r="S102" s="96" t="s">
        <v>340</v>
      </c>
      <c r="T102" s="101">
        <v>0.2888310185185185</v>
      </c>
      <c r="U102" s="101">
        <v>0.69253472222222223</v>
      </c>
      <c r="V102" s="101">
        <f t="shared" si="53"/>
        <v>0.59629629629629632</v>
      </c>
      <c r="W102" s="101">
        <f t="shared" si="43"/>
        <v>0.30746527777777777</v>
      </c>
      <c r="X102" s="115">
        <f t="shared" si="54"/>
        <v>0.2888310185185185</v>
      </c>
      <c r="Y102" s="115">
        <f t="shared" si="44"/>
        <v>0.43246527777777777</v>
      </c>
      <c r="Z102" s="101">
        <f t="shared" si="45"/>
        <v>0.1638310185185185</v>
      </c>
      <c r="AA102" s="111"/>
      <c r="AB102" s="102" t="s">
        <v>480</v>
      </c>
      <c r="AC102" s="111">
        <v>0.30649305555555556</v>
      </c>
      <c r="AD102" s="111">
        <v>0.69271990740740741</v>
      </c>
      <c r="AE102" s="111">
        <f t="shared" si="55"/>
        <v>0.6137731481481481</v>
      </c>
      <c r="AF102" s="112">
        <f t="shared" si="56"/>
        <v>0.30728009259259259</v>
      </c>
      <c r="AG102" s="133">
        <f t="shared" si="57"/>
        <v>0.30649305555555556</v>
      </c>
      <c r="AH102" s="114">
        <f t="shared" si="58"/>
        <v>0.43228009259259259</v>
      </c>
      <c r="AI102" s="111">
        <f t="shared" si="59"/>
        <v>0.18149305555555556</v>
      </c>
    </row>
    <row r="103" spans="1:35">
      <c r="A103" s="110" t="s">
        <v>481</v>
      </c>
      <c r="B103" s="111">
        <v>0.28452546296296294</v>
      </c>
      <c r="C103" s="111">
        <v>0.78771990740740738</v>
      </c>
      <c r="D103" s="111">
        <f t="shared" si="46"/>
        <v>0.49680555555555556</v>
      </c>
      <c r="E103" s="112">
        <f t="shared" si="40"/>
        <v>0.21228009259259262</v>
      </c>
      <c r="F103" s="113">
        <f t="shared" si="47"/>
        <v>0.28452546296296294</v>
      </c>
      <c r="G103" s="114">
        <f t="shared" si="41"/>
        <v>0.33728009259259262</v>
      </c>
      <c r="H103" s="111">
        <f t="shared" si="42"/>
        <v>0.15952546296296294</v>
      </c>
      <c r="I103" s="111"/>
      <c r="J103" s="102" t="s">
        <v>342</v>
      </c>
      <c r="K103" s="101">
        <v>0.30637731481481484</v>
      </c>
      <c r="L103" s="101">
        <v>0.75510416666666658</v>
      </c>
      <c r="M103" s="101">
        <f t="shared" si="48"/>
        <v>0.55127314814814832</v>
      </c>
      <c r="N103" s="101">
        <f t="shared" si="49"/>
        <v>0.24489583333333342</v>
      </c>
      <c r="O103" s="115">
        <f t="shared" si="50"/>
        <v>0.30637731481481484</v>
      </c>
      <c r="P103" s="115">
        <f t="shared" si="51"/>
        <v>0.36989583333333342</v>
      </c>
      <c r="Q103" s="101">
        <f t="shared" si="52"/>
        <v>0.18137731481481484</v>
      </c>
      <c r="R103" s="111"/>
      <c r="S103" s="96" t="s">
        <v>343</v>
      </c>
      <c r="T103" s="101">
        <v>0.28960648148148149</v>
      </c>
      <c r="U103" s="101">
        <v>0.69216435185185177</v>
      </c>
      <c r="V103" s="101">
        <f t="shared" si="53"/>
        <v>0.59744212962962973</v>
      </c>
      <c r="W103" s="101">
        <f t="shared" si="43"/>
        <v>0.30783564814814823</v>
      </c>
      <c r="X103" s="115">
        <f t="shared" si="54"/>
        <v>0.28960648148148149</v>
      </c>
      <c r="Y103" s="115">
        <f t="shared" si="44"/>
        <v>0.43283564814814823</v>
      </c>
      <c r="Z103" s="101">
        <f t="shared" si="45"/>
        <v>0.16460648148148149</v>
      </c>
      <c r="AA103" s="111"/>
      <c r="AB103" s="117" t="s">
        <v>481</v>
      </c>
      <c r="AC103" s="111">
        <v>0.30679398148148146</v>
      </c>
      <c r="AD103" s="111">
        <v>0.6931250000000001</v>
      </c>
      <c r="AE103" s="111">
        <f t="shared" si="55"/>
        <v>0.6136689814814813</v>
      </c>
      <c r="AF103" s="112">
        <f t="shared" si="56"/>
        <v>0.3068749999999999</v>
      </c>
      <c r="AG103" s="133">
        <f t="shared" si="57"/>
        <v>0.30679398148148146</v>
      </c>
      <c r="AH103" s="114">
        <f t="shared" si="58"/>
        <v>0.4318749999999999</v>
      </c>
      <c r="AI103" s="111">
        <f t="shared" si="59"/>
        <v>0.18179398148148146</v>
      </c>
    </row>
    <row r="104" spans="1:35">
      <c r="A104" s="96" t="s">
        <v>482</v>
      </c>
      <c r="B104" s="111">
        <v>0.28521990740740738</v>
      </c>
      <c r="C104" s="111">
        <v>0.7865509259259259</v>
      </c>
      <c r="D104" s="111">
        <f t="shared" si="46"/>
        <v>0.49866898148148148</v>
      </c>
      <c r="E104" s="112">
        <f t="shared" si="40"/>
        <v>0.2134490740740741</v>
      </c>
      <c r="F104" s="113">
        <f t="shared" si="47"/>
        <v>0.28521990740740738</v>
      </c>
      <c r="G104" s="114">
        <f t="shared" si="41"/>
        <v>0.3384490740740741</v>
      </c>
      <c r="H104" s="111">
        <f t="shared" si="42"/>
        <v>0.16021990740740738</v>
      </c>
      <c r="I104" s="111"/>
      <c r="J104" s="102" t="s">
        <v>345</v>
      </c>
      <c r="K104" s="101">
        <v>0.30715277777777777</v>
      </c>
      <c r="L104" s="101">
        <v>0.75415509259259261</v>
      </c>
      <c r="M104" s="101">
        <f t="shared" si="48"/>
        <v>0.55299768518518522</v>
      </c>
      <c r="N104" s="101">
        <f t="shared" si="49"/>
        <v>0.24584490740740739</v>
      </c>
      <c r="O104" s="115">
        <f t="shared" si="50"/>
        <v>0.30715277777777777</v>
      </c>
      <c r="P104" s="115">
        <f t="shared" si="51"/>
        <v>0.37084490740740739</v>
      </c>
      <c r="Q104" s="101">
        <f t="shared" si="52"/>
        <v>0.18215277777777777</v>
      </c>
      <c r="R104" s="111"/>
      <c r="S104" s="96" t="s">
        <v>346</v>
      </c>
      <c r="T104" s="101">
        <v>0.29037037037037039</v>
      </c>
      <c r="U104" s="101">
        <v>0.69182870370370375</v>
      </c>
      <c r="V104" s="101">
        <f t="shared" si="53"/>
        <v>0.59854166666666664</v>
      </c>
      <c r="W104" s="101">
        <f t="shared" si="43"/>
        <v>0.30817129629629625</v>
      </c>
      <c r="X104" s="115">
        <f t="shared" si="54"/>
        <v>0.29037037037037039</v>
      </c>
      <c r="Y104" s="115">
        <f t="shared" si="44"/>
        <v>0.43317129629629625</v>
      </c>
      <c r="Z104" s="101">
        <f t="shared" si="45"/>
        <v>0.16537037037037039</v>
      </c>
      <c r="AA104" s="111"/>
      <c r="AB104" s="102" t="s">
        <v>482</v>
      </c>
      <c r="AC104" s="111">
        <v>0.30707175925925928</v>
      </c>
      <c r="AD104" s="111">
        <v>0.69355324074074076</v>
      </c>
      <c r="AE104" s="111">
        <f t="shared" si="55"/>
        <v>0.61351851851851857</v>
      </c>
      <c r="AF104" s="112">
        <f t="shared" si="56"/>
        <v>0.30644675925925924</v>
      </c>
      <c r="AG104" s="133">
        <f t="shared" si="57"/>
        <v>0.30707175925925928</v>
      </c>
      <c r="AH104" s="114">
        <f t="shared" si="58"/>
        <v>0.43144675925925924</v>
      </c>
      <c r="AI104" s="111">
        <f t="shared" si="59"/>
        <v>0.18207175925925928</v>
      </c>
    </row>
    <row r="105" spans="1:35">
      <c r="A105" s="96" t="s">
        <v>483</v>
      </c>
      <c r="B105" s="111">
        <v>0.28590277777777778</v>
      </c>
      <c r="C105" s="111">
        <v>0.78539351851851846</v>
      </c>
      <c r="D105" s="111">
        <f t="shared" si="46"/>
        <v>0.50050925925925926</v>
      </c>
      <c r="E105" s="112">
        <f t="shared" si="40"/>
        <v>0.21460648148148154</v>
      </c>
      <c r="F105" s="113">
        <f t="shared" si="47"/>
        <v>0.28590277777777778</v>
      </c>
      <c r="G105" s="114">
        <f t="shared" si="41"/>
        <v>0.33960648148148154</v>
      </c>
      <c r="H105" s="111">
        <f t="shared" si="42"/>
        <v>0.16090277777777778</v>
      </c>
      <c r="I105" s="111"/>
      <c r="J105" s="102" t="s">
        <v>348</v>
      </c>
      <c r="K105" s="101">
        <v>0.30793981481481481</v>
      </c>
      <c r="L105" s="101">
        <v>0.75322916666666673</v>
      </c>
      <c r="M105" s="101">
        <f t="shared" si="48"/>
        <v>0.55471064814814808</v>
      </c>
      <c r="N105" s="101">
        <f t="shared" si="49"/>
        <v>0.24677083333333327</v>
      </c>
      <c r="O105" s="115">
        <f t="shared" si="50"/>
        <v>0.30793981481481481</v>
      </c>
      <c r="P105" s="115">
        <f t="shared" si="51"/>
        <v>0.37177083333333327</v>
      </c>
      <c r="Q105" s="101">
        <f t="shared" si="52"/>
        <v>0.18293981481481481</v>
      </c>
      <c r="R105" s="111"/>
      <c r="S105" s="110" t="s">
        <v>349</v>
      </c>
      <c r="T105" s="101">
        <v>0.29112268518518519</v>
      </c>
      <c r="U105" s="101">
        <v>0.69150462962962955</v>
      </c>
      <c r="V105" s="101">
        <f t="shared" si="53"/>
        <v>0.5996180555555557</v>
      </c>
      <c r="W105" s="101">
        <f t="shared" si="43"/>
        <v>0.30849537037037045</v>
      </c>
      <c r="X105" s="115">
        <f t="shared" si="54"/>
        <v>0.29112268518518519</v>
      </c>
      <c r="Y105" s="115">
        <f t="shared" si="44"/>
        <v>0.43349537037037045</v>
      </c>
      <c r="Z105" s="101">
        <f t="shared" si="45"/>
        <v>0.16612268518518519</v>
      </c>
      <c r="AA105" s="111"/>
      <c r="AB105" s="102" t="s">
        <v>483</v>
      </c>
      <c r="AC105" s="111">
        <v>0.30732638888888891</v>
      </c>
      <c r="AD105" s="111">
        <v>0.69399305555555557</v>
      </c>
      <c r="AE105" s="111">
        <f t="shared" si="55"/>
        <v>0.61333333333333329</v>
      </c>
      <c r="AF105" s="112">
        <f t="shared" si="56"/>
        <v>0.30600694444444443</v>
      </c>
      <c r="AG105" s="133">
        <f t="shared" si="57"/>
        <v>0.30732638888888891</v>
      </c>
      <c r="AH105" s="114">
        <f t="shared" si="58"/>
        <v>0.43100694444444443</v>
      </c>
      <c r="AI105" s="111">
        <f t="shared" si="59"/>
        <v>0.18232638888888891</v>
      </c>
    </row>
    <row r="106" spans="1:35">
      <c r="A106" s="96" t="s">
        <v>484</v>
      </c>
      <c r="B106" s="111">
        <v>0.28659722222222223</v>
      </c>
      <c r="C106" s="111">
        <v>0.78423611111111102</v>
      </c>
      <c r="D106" s="111">
        <f t="shared" si="46"/>
        <v>0.50236111111111126</v>
      </c>
      <c r="E106" s="112">
        <f t="shared" si="40"/>
        <v>0.21576388888888898</v>
      </c>
      <c r="F106" s="113">
        <f t="shared" si="47"/>
        <v>0.28659722222222223</v>
      </c>
      <c r="G106" s="114">
        <f t="shared" si="41"/>
        <v>0.34076388888888898</v>
      </c>
      <c r="H106" s="111">
        <f t="shared" si="42"/>
        <v>0.16159722222222223</v>
      </c>
      <c r="I106" s="111"/>
      <c r="J106" s="102" t="s">
        <v>351</v>
      </c>
      <c r="K106" s="101">
        <v>0.30872685185185184</v>
      </c>
      <c r="L106" s="101">
        <v>0.75231481481481488</v>
      </c>
      <c r="M106" s="101">
        <f t="shared" si="48"/>
        <v>0.5564120370370369</v>
      </c>
      <c r="N106" s="101">
        <f t="shared" si="49"/>
        <v>0.24768518518518512</v>
      </c>
      <c r="O106" s="115">
        <f t="shared" si="50"/>
        <v>0.30872685185185184</v>
      </c>
      <c r="P106" s="115">
        <f t="shared" si="51"/>
        <v>0.37268518518518512</v>
      </c>
      <c r="Q106" s="101">
        <f t="shared" si="52"/>
        <v>0.18372685185185184</v>
      </c>
      <c r="R106" s="111"/>
      <c r="S106" s="96" t="s">
        <v>352</v>
      </c>
      <c r="T106" s="101">
        <v>0.291875</v>
      </c>
      <c r="U106" s="101">
        <v>0.69120370370370365</v>
      </c>
      <c r="V106" s="101">
        <f t="shared" si="53"/>
        <v>0.60067129629629634</v>
      </c>
      <c r="W106" s="101">
        <f t="shared" si="43"/>
        <v>0.30879629629629635</v>
      </c>
      <c r="X106" s="115">
        <f t="shared" si="54"/>
        <v>0.291875</v>
      </c>
      <c r="Y106" s="115">
        <f t="shared" si="44"/>
        <v>0.43379629629629635</v>
      </c>
      <c r="Z106" s="101">
        <f t="shared" si="45"/>
        <v>0.166875</v>
      </c>
      <c r="AA106" s="111"/>
      <c r="AB106" s="102" t="s">
        <v>484</v>
      </c>
      <c r="AC106" s="111">
        <v>0.30754629629629632</v>
      </c>
      <c r="AD106" s="111">
        <v>0.69445601851851846</v>
      </c>
      <c r="AE106" s="111">
        <f t="shared" si="55"/>
        <v>0.6130902777777778</v>
      </c>
      <c r="AF106" s="112">
        <f t="shared" si="56"/>
        <v>0.30554398148148154</v>
      </c>
      <c r="AG106" s="133">
        <f t="shared" si="57"/>
        <v>0.30754629629629632</v>
      </c>
      <c r="AH106" s="114">
        <f t="shared" si="58"/>
        <v>0.43054398148148154</v>
      </c>
      <c r="AI106" s="111">
        <f t="shared" si="59"/>
        <v>0.18254629629629632</v>
      </c>
    </row>
    <row r="107" spans="1:35">
      <c r="A107" s="96" t="s">
        <v>485</v>
      </c>
      <c r="B107" s="111">
        <v>0.28728009259259263</v>
      </c>
      <c r="C107" s="111">
        <v>0.78306712962962965</v>
      </c>
      <c r="D107" s="111">
        <f t="shared" si="46"/>
        <v>0.50421296296296303</v>
      </c>
      <c r="E107" s="112">
        <f t="shared" si="40"/>
        <v>0.21693287037037035</v>
      </c>
      <c r="F107" s="113">
        <f t="shared" si="47"/>
        <v>0.28728009259259263</v>
      </c>
      <c r="G107" s="114">
        <f t="shared" si="41"/>
        <v>0.34193287037037035</v>
      </c>
      <c r="H107" s="111">
        <f t="shared" si="42"/>
        <v>0.16228009259259263</v>
      </c>
      <c r="I107" s="111"/>
      <c r="J107" s="102" t="s">
        <v>354</v>
      </c>
      <c r="K107" s="101">
        <v>0.30952546296296296</v>
      </c>
      <c r="L107" s="101">
        <v>0.75140046296296292</v>
      </c>
      <c r="M107" s="101">
        <f t="shared" si="48"/>
        <v>0.55812499999999998</v>
      </c>
      <c r="N107" s="101">
        <f t="shared" si="49"/>
        <v>0.24859953703703708</v>
      </c>
      <c r="O107" s="115">
        <f t="shared" si="50"/>
        <v>0.30952546296296296</v>
      </c>
      <c r="P107" s="115">
        <f t="shared" si="51"/>
        <v>0.37359953703703708</v>
      </c>
      <c r="Q107" s="101">
        <f t="shared" si="52"/>
        <v>0.18452546296296296</v>
      </c>
      <c r="R107" s="111"/>
      <c r="S107" s="96" t="s">
        <v>355</v>
      </c>
      <c r="T107" s="101">
        <v>0.2926273148148148</v>
      </c>
      <c r="U107" s="101">
        <v>0.69093749999999998</v>
      </c>
      <c r="V107" s="101">
        <f t="shared" si="53"/>
        <v>0.60168981481481487</v>
      </c>
      <c r="W107" s="101">
        <f t="shared" si="43"/>
        <v>0.30906250000000002</v>
      </c>
      <c r="X107" s="115">
        <f t="shared" si="54"/>
        <v>0.2926273148148148</v>
      </c>
      <c r="Y107" s="115">
        <f t="shared" si="44"/>
        <v>0.43406250000000002</v>
      </c>
      <c r="Z107" s="101">
        <f t="shared" si="45"/>
        <v>0.1676273148148148</v>
      </c>
      <c r="AA107" s="111"/>
      <c r="AB107" s="102" t="s">
        <v>485</v>
      </c>
      <c r="AC107" s="111">
        <v>0.30775462962962963</v>
      </c>
      <c r="AD107" s="111">
        <v>0.69495370370370368</v>
      </c>
      <c r="AE107" s="111">
        <f t="shared" si="55"/>
        <v>0.61280092592592594</v>
      </c>
      <c r="AF107" s="112">
        <f t="shared" si="56"/>
        <v>0.30504629629629632</v>
      </c>
      <c r="AG107" s="133">
        <f t="shared" si="57"/>
        <v>0.30775462962962963</v>
      </c>
      <c r="AH107" s="114">
        <f t="shared" si="58"/>
        <v>0.43004629629629632</v>
      </c>
      <c r="AI107" s="111">
        <f t="shared" si="59"/>
        <v>0.18275462962962963</v>
      </c>
    </row>
    <row r="108" spans="1:35">
      <c r="A108" s="96" t="s">
        <v>486</v>
      </c>
      <c r="B108" s="111">
        <v>0.28797453703703701</v>
      </c>
      <c r="C108" s="111">
        <v>0.78192129629629636</v>
      </c>
      <c r="D108" s="111">
        <f t="shared" si="46"/>
        <v>0.50605324074074065</v>
      </c>
      <c r="E108" s="112">
        <f t="shared" si="40"/>
        <v>0.21807870370370364</v>
      </c>
      <c r="F108" s="113">
        <f t="shared" si="47"/>
        <v>0.28797453703703701</v>
      </c>
      <c r="G108" s="114">
        <f t="shared" si="41"/>
        <v>0.34307870370370364</v>
      </c>
      <c r="H108" s="111">
        <f t="shared" si="42"/>
        <v>0.16297453703703701</v>
      </c>
      <c r="I108" s="111"/>
      <c r="J108" s="117" t="s">
        <v>357</v>
      </c>
      <c r="K108" s="101">
        <v>0.31032407407407409</v>
      </c>
      <c r="L108" s="101">
        <v>0.7505208333333333</v>
      </c>
      <c r="M108" s="101">
        <f t="shared" si="48"/>
        <v>0.55980324074074073</v>
      </c>
      <c r="N108" s="101">
        <f t="shared" si="49"/>
        <v>0.2494791666666667</v>
      </c>
      <c r="O108" s="115">
        <f t="shared" si="50"/>
        <v>0.31032407407407409</v>
      </c>
      <c r="P108" s="115">
        <f t="shared" si="51"/>
        <v>0.3744791666666667</v>
      </c>
      <c r="Q108" s="101">
        <f t="shared" si="52"/>
        <v>0.18532407407407409</v>
      </c>
      <c r="R108" s="111"/>
      <c r="S108" s="96" t="s">
        <v>358</v>
      </c>
      <c r="T108" s="101">
        <v>0.29335648148148147</v>
      </c>
      <c r="U108" s="101">
        <v>0.6906944444444445</v>
      </c>
      <c r="V108" s="101">
        <f t="shared" si="53"/>
        <v>0.60266203703703702</v>
      </c>
      <c r="W108" s="101">
        <f t="shared" si="43"/>
        <v>0.3093055555555555</v>
      </c>
      <c r="X108" s="115">
        <f t="shared" si="54"/>
        <v>0.29335648148148147</v>
      </c>
      <c r="Y108" s="115">
        <f t="shared" si="44"/>
        <v>0.4343055555555555</v>
      </c>
      <c r="Z108" s="101">
        <f t="shared" si="45"/>
        <v>0.16835648148148147</v>
      </c>
      <c r="AA108" s="111"/>
      <c r="AB108" s="102" t="s">
        <v>486</v>
      </c>
      <c r="AC108" s="111">
        <v>0.30792824074074071</v>
      </c>
      <c r="AD108" s="111">
        <v>0.69546296296296306</v>
      </c>
      <c r="AE108" s="111">
        <f t="shared" si="55"/>
        <v>0.61246527777777771</v>
      </c>
      <c r="AF108" s="112">
        <f t="shared" si="56"/>
        <v>0.30453703703703694</v>
      </c>
      <c r="AG108" s="133">
        <f t="shared" si="57"/>
        <v>0.30792824074074071</v>
      </c>
      <c r="AH108" s="114">
        <f t="shared" si="58"/>
        <v>0.42953703703703694</v>
      </c>
      <c r="AI108" s="111">
        <f t="shared" si="59"/>
        <v>0.18292824074074071</v>
      </c>
    </row>
    <row r="109" spans="1:35">
      <c r="A109" s="124" t="s">
        <v>487</v>
      </c>
      <c r="B109" s="125">
        <v>0.28868055555555555</v>
      </c>
      <c r="C109" s="125">
        <v>0.78076388888888892</v>
      </c>
      <c r="D109" s="125">
        <f t="shared" si="46"/>
        <v>0.50791666666666657</v>
      </c>
      <c r="E109" s="126">
        <f t="shared" si="40"/>
        <v>0.21923611111111108</v>
      </c>
      <c r="F109" s="113">
        <f t="shared" si="47"/>
        <v>0.28868055555555555</v>
      </c>
      <c r="G109" s="127">
        <f t="shared" si="41"/>
        <v>0.34423611111111108</v>
      </c>
      <c r="H109" s="125">
        <f t="shared" si="42"/>
        <v>0.16368055555555555</v>
      </c>
      <c r="I109" s="111"/>
      <c r="J109" s="102" t="s">
        <v>360</v>
      </c>
      <c r="K109" s="101">
        <v>0.31112268518518521</v>
      </c>
      <c r="L109" s="101">
        <v>0.74964120370370368</v>
      </c>
      <c r="M109" s="101">
        <f t="shared" si="48"/>
        <v>0.56148148148148147</v>
      </c>
      <c r="N109" s="101">
        <f t="shared" si="49"/>
        <v>0.25035879629629632</v>
      </c>
      <c r="O109" s="115">
        <f t="shared" si="50"/>
        <v>0.31112268518518521</v>
      </c>
      <c r="P109" s="115">
        <f t="shared" si="51"/>
        <v>0.37535879629629632</v>
      </c>
      <c r="Q109" s="101">
        <f t="shared" si="52"/>
        <v>0.18612268518518521</v>
      </c>
      <c r="R109" s="111"/>
      <c r="S109" s="124" t="s">
        <v>361</v>
      </c>
      <c r="T109" s="120">
        <v>0.2940740740740741</v>
      </c>
      <c r="U109" s="120">
        <v>0.69047453703703709</v>
      </c>
      <c r="V109" s="120">
        <f t="shared" si="53"/>
        <v>0.60359953703703706</v>
      </c>
      <c r="W109" s="120">
        <f t="shared" si="43"/>
        <v>0.30952546296296291</v>
      </c>
      <c r="X109" s="115">
        <f t="shared" si="54"/>
        <v>0.2940740740740741</v>
      </c>
      <c r="Y109" s="121">
        <f t="shared" si="44"/>
        <v>0.43452546296296291</v>
      </c>
      <c r="Z109" s="120">
        <f t="shared" si="45"/>
        <v>0.1690740740740741</v>
      </c>
      <c r="AA109" s="111"/>
      <c r="AB109" s="102" t="s">
        <v>487</v>
      </c>
      <c r="AC109" s="111">
        <v>0.30807870370370372</v>
      </c>
      <c r="AD109" s="111">
        <v>0.69598379629629636</v>
      </c>
      <c r="AE109" s="111">
        <f t="shared" si="55"/>
        <v>0.61209490740740735</v>
      </c>
      <c r="AF109" s="112">
        <f t="shared" si="56"/>
        <v>0.30401620370370364</v>
      </c>
      <c r="AG109" s="133">
        <f t="shared" si="57"/>
        <v>0.30807870370370372</v>
      </c>
      <c r="AH109" s="114">
        <f t="shared" si="58"/>
        <v>0.42901620370370364</v>
      </c>
      <c r="AI109" s="111">
        <f t="shared" si="59"/>
        <v>0.18307870370370372</v>
      </c>
    </row>
    <row r="110" spans="1:35">
      <c r="A110" s="96"/>
      <c r="B110" s="96"/>
      <c r="C110" s="128" t="s">
        <v>104</v>
      </c>
      <c r="D110" s="129">
        <f>SUM(D80:D109)</f>
        <v>14.435162037037037</v>
      </c>
      <c r="E110" s="129">
        <f>SUM(E80:E109)</f>
        <v>6.0713888888888885</v>
      </c>
      <c r="F110" s="129">
        <f>SUM(F80:F109)</f>
        <v>8.3637731481481463</v>
      </c>
      <c r="G110" s="129">
        <f>SUM(G80:G109)</f>
        <v>9.8213888888888903</v>
      </c>
      <c r="H110" s="129">
        <f>SUM(H80:H109)</f>
        <v>4.613773148148149</v>
      </c>
      <c r="I110" s="96"/>
      <c r="J110" s="119" t="s">
        <v>363</v>
      </c>
      <c r="K110" s="120">
        <v>0.31192129629629628</v>
      </c>
      <c r="L110" s="120">
        <v>0.74878472222222225</v>
      </c>
      <c r="M110" s="120">
        <f t="shared" si="48"/>
        <v>0.56313657407407403</v>
      </c>
      <c r="N110" s="120">
        <f t="shared" si="49"/>
        <v>0.25121527777777775</v>
      </c>
      <c r="O110" s="115">
        <f t="shared" si="50"/>
        <v>0.31192129629629628</v>
      </c>
      <c r="P110" s="121">
        <f t="shared" si="51"/>
        <v>0.37621527777777775</v>
      </c>
      <c r="Q110" s="120">
        <f t="shared" si="52"/>
        <v>0.18692129629629628</v>
      </c>
      <c r="R110" s="111"/>
      <c r="S110" s="96"/>
      <c r="T110" s="97"/>
      <c r="U110" s="98" t="s">
        <v>104</v>
      </c>
      <c r="V110" s="122">
        <f>SUM(V80:V109)</f>
        <v>17.575891203703708</v>
      </c>
      <c r="W110" s="122">
        <f>SUM(W80:W109)</f>
        <v>8.9265046296296298</v>
      </c>
      <c r="X110" s="122">
        <f>SUM(X80:X109)</f>
        <v>8.6493865740740734</v>
      </c>
      <c r="Y110" s="122">
        <f>SUM(Y80:Y109)</f>
        <v>12.676504629629626</v>
      </c>
      <c r="Z110" s="122">
        <f>SUM(Z80:Z109)</f>
        <v>4.8993865740740743</v>
      </c>
      <c r="AA110" s="96"/>
      <c r="AB110" s="123" t="s">
        <v>488</v>
      </c>
      <c r="AC110" s="125">
        <v>0.30820601851851853</v>
      </c>
      <c r="AD110" s="125">
        <v>0.69653935185185178</v>
      </c>
      <c r="AE110" s="125">
        <f t="shared" si="55"/>
        <v>0.6116666666666668</v>
      </c>
      <c r="AF110" s="126">
        <f t="shared" si="56"/>
        <v>0.30346064814814822</v>
      </c>
      <c r="AG110" s="133">
        <f t="shared" si="57"/>
        <v>0.30820601851851853</v>
      </c>
      <c r="AH110" s="127">
        <f t="shared" si="58"/>
        <v>0.42846064814814822</v>
      </c>
      <c r="AI110" s="125">
        <f t="shared" si="59"/>
        <v>0.18320601851851853</v>
      </c>
    </row>
    <row r="111" spans="1:35">
      <c r="L111" s="98" t="s">
        <v>104</v>
      </c>
      <c r="M111" s="122">
        <f>SUM(M80:M110)</f>
        <v>16.643877314814819</v>
      </c>
      <c r="N111" s="122">
        <f>SUM(N80:N110)</f>
        <v>7.3317824074074078</v>
      </c>
      <c r="O111" s="122">
        <f>SUM(O80:O110)</f>
        <v>9.312094907407408</v>
      </c>
      <c r="P111" s="122">
        <f>SUM(P80:P110)</f>
        <v>11.206782407407408</v>
      </c>
      <c r="Q111" s="122">
        <f>SUM(Q80:Q110)</f>
        <v>5.437094907407408</v>
      </c>
      <c r="AD111" s="128" t="s">
        <v>104</v>
      </c>
      <c r="AE111" s="129">
        <f>SUM(AE80:AE110)</f>
        <v>18.951921296296298</v>
      </c>
      <c r="AF111" s="129">
        <f>SUM(AF80:AF110)</f>
        <v>9.5603472222222212</v>
      </c>
      <c r="AG111" s="129">
        <f>SUM(AG80:AG110)</f>
        <v>9.3915740740740734</v>
      </c>
      <c r="AH111" s="129">
        <f>SUM(AH80:AH110)</f>
        <v>13.435347222222219</v>
      </c>
      <c r="AI111" s="129">
        <f>SUM(AI80:AI110)</f>
        <v>5.5165740740740743</v>
      </c>
    </row>
  </sheetData>
  <mergeCells count="12">
    <mergeCell ref="A78:C78"/>
    <mergeCell ref="J78:L78"/>
    <mergeCell ref="S78:U78"/>
    <mergeCell ref="AB78:AD78"/>
    <mergeCell ref="A6:C6"/>
    <mergeCell ref="J6:L6"/>
    <mergeCell ref="S6:U6"/>
    <mergeCell ref="AB6:AD6"/>
    <mergeCell ref="A42:C42"/>
    <mergeCell ref="J42:L42"/>
    <mergeCell ref="S42:U42"/>
    <mergeCell ref="AB42:AD4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767F-A1DB-4C60-AD88-371978A86825}">
  <sheetPr codeName="Sheet15"/>
  <dimension ref="A1:AA34"/>
  <sheetViews>
    <sheetView showGridLines="0" topLeftCell="A8" workbookViewId="0">
      <selection activeCell="D10" sqref="D10"/>
    </sheetView>
  </sheetViews>
  <sheetFormatPr defaultRowHeight="15"/>
  <cols>
    <col min="2" max="2" width="6.42578125" customWidth="1"/>
    <col min="3" max="3" width="16.7109375" customWidth="1"/>
    <col min="4" max="4" width="10.140625" bestFit="1" customWidth="1"/>
    <col min="9" max="9" width="2" customWidth="1"/>
    <col min="15" max="15" width="3.140625" customWidth="1"/>
    <col min="17" max="17" width="16.42578125" customWidth="1"/>
    <col min="18" max="18" width="11.85546875" customWidth="1"/>
  </cols>
  <sheetData>
    <row r="1" spans="1:27" ht="38.25" customHeight="1">
      <c r="A1" s="209" t="s">
        <v>489</v>
      </c>
      <c r="B1" s="209"/>
      <c r="C1" s="209"/>
      <c r="D1" s="209"/>
      <c r="E1" s="209"/>
      <c r="F1" s="209"/>
      <c r="G1" s="210"/>
      <c r="H1" s="209"/>
      <c r="I1" s="209"/>
      <c r="J1" s="209"/>
      <c r="K1" s="209"/>
      <c r="L1" s="211"/>
      <c r="M1" s="211"/>
      <c r="N1" s="209"/>
      <c r="O1" s="209"/>
      <c r="P1" s="208"/>
      <c r="Q1" s="208"/>
      <c r="R1" s="208"/>
      <c r="S1" s="208"/>
      <c r="T1" s="208"/>
      <c r="U1" s="208"/>
      <c r="V1" s="208"/>
      <c r="W1" s="208"/>
      <c r="X1" s="208"/>
      <c r="Y1" s="208"/>
      <c r="Z1" s="208"/>
      <c r="AA1" s="208"/>
    </row>
    <row r="2" spans="1:27">
      <c r="A2" s="1" t="s">
        <v>260</v>
      </c>
    </row>
    <row r="3" spans="1:27">
      <c r="A3" t="s">
        <v>263</v>
      </c>
    </row>
    <row r="4" spans="1:27">
      <c r="A4" t="s">
        <v>264</v>
      </c>
    </row>
    <row r="6" spans="1:27">
      <c r="C6" s="31"/>
      <c r="D6" s="31"/>
      <c r="E6" s="31"/>
      <c r="F6" s="31"/>
      <c r="G6" s="31"/>
      <c r="H6" s="31"/>
      <c r="J6" s="31"/>
      <c r="K6" s="31"/>
      <c r="L6" s="31"/>
      <c r="M6" s="31"/>
      <c r="N6" s="31"/>
    </row>
    <row r="7" spans="1:27" ht="17.25" customHeight="1">
      <c r="C7" s="132"/>
      <c r="D7" s="572" t="s">
        <v>490</v>
      </c>
      <c r="E7" s="572"/>
      <c r="F7" s="572"/>
      <c r="G7" s="572"/>
      <c r="H7" s="572"/>
      <c r="I7" s="38"/>
      <c r="J7" s="572" t="s">
        <v>491</v>
      </c>
      <c r="K7" s="572"/>
      <c r="L7" s="572"/>
      <c r="M7" s="572"/>
      <c r="N7" s="572"/>
    </row>
    <row r="8" spans="1:27" ht="30">
      <c r="C8" s="144" t="s">
        <v>492</v>
      </c>
      <c r="D8" s="130" t="s">
        <v>265</v>
      </c>
      <c r="E8" s="131" t="s">
        <v>493</v>
      </c>
      <c r="F8" s="131" t="s">
        <v>267</v>
      </c>
      <c r="G8" s="131" t="s">
        <v>268</v>
      </c>
      <c r="H8" s="131" t="s">
        <v>269</v>
      </c>
      <c r="I8" s="38"/>
      <c r="J8" s="130" t="s">
        <v>265</v>
      </c>
      <c r="K8" s="131" t="s">
        <v>493</v>
      </c>
      <c r="L8" s="131" t="s">
        <v>267</v>
      </c>
      <c r="M8" s="131" t="s">
        <v>268</v>
      </c>
      <c r="N8" s="131" t="s">
        <v>269</v>
      </c>
    </row>
    <row r="9" spans="1:27">
      <c r="C9" s="10" t="s">
        <v>494</v>
      </c>
      <c r="D9" s="146">
        <f>'OpHrs (Ref)'!D39</f>
        <v>18.525196759259252</v>
      </c>
      <c r="E9" s="146">
        <f>'OpHrs (Ref)'!E39</f>
        <v>9.0511226851851863</v>
      </c>
      <c r="F9" s="146">
        <f>'OpHrs (Ref)'!F39</f>
        <v>9.4740740740740748</v>
      </c>
      <c r="G9" s="146">
        <f>'OpHrs (Ref)'!G39</f>
        <v>12.926122685185186</v>
      </c>
      <c r="H9" s="146">
        <f>'OpHrs (Ref)'!H39</f>
        <v>5.599074074074073</v>
      </c>
      <c r="I9" s="38"/>
      <c r="J9" s="134">
        <f>D9*24</f>
        <v>444.60472222222205</v>
      </c>
      <c r="K9" s="134">
        <f t="shared" ref="K9:N9" si="0">E9*24</f>
        <v>217.22694444444448</v>
      </c>
      <c r="L9" s="134">
        <f t="shared" si="0"/>
        <v>227.37777777777779</v>
      </c>
      <c r="M9" s="134">
        <f t="shared" si="0"/>
        <v>310.22694444444448</v>
      </c>
      <c r="N9" s="134">
        <f t="shared" si="0"/>
        <v>134.37777777777774</v>
      </c>
      <c r="T9" s="150"/>
    </row>
    <row r="10" spans="1:27">
      <c r="C10" s="10" t="s">
        <v>495</v>
      </c>
      <c r="D10" s="146">
        <f>'OpHrs (Ref)'!M36</f>
        <v>15.548136574074073</v>
      </c>
      <c r="E10" s="146">
        <f>'OpHrs (Ref)'!N36</f>
        <v>7.4949421296296279</v>
      </c>
      <c r="F10" s="146">
        <f>'OpHrs (Ref)'!O36</f>
        <v>8.0531944444444434</v>
      </c>
      <c r="G10" s="146">
        <f>'OpHrs (Ref)'!P36</f>
        <v>10.99494212962963</v>
      </c>
      <c r="H10" s="146">
        <f>'OpHrs (Ref)'!Q36</f>
        <v>4.5531944444444452</v>
      </c>
      <c r="I10" s="38"/>
      <c r="J10" s="134">
        <f t="shared" ref="J10:J20" si="1">D10*24</f>
        <v>373.15527777777777</v>
      </c>
      <c r="K10" s="134">
        <f t="shared" ref="K10:K20" si="2">E10*24</f>
        <v>179.87861111111107</v>
      </c>
      <c r="L10" s="134">
        <f t="shared" ref="L10:L20" si="3">F10*24</f>
        <v>193.27666666666664</v>
      </c>
      <c r="M10" s="134">
        <f t="shared" ref="M10:M20" si="4">G10*24</f>
        <v>263.87861111111113</v>
      </c>
      <c r="N10" s="134">
        <f t="shared" ref="N10:N20" si="5">H10*24</f>
        <v>109.27666666666669</v>
      </c>
      <c r="T10" s="150"/>
    </row>
    <row r="11" spans="1:27">
      <c r="C11" s="10" t="s">
        <v>496</v>
      </c>
      <c r="D11" s="146">
        <f>'OpHrs (Ref)'!V39</f>
        <v>15.550983796296293</v>
      </c>
      <c r="E11" s="146">
        <f>'OpHrs (Ref)'!W39</f>
        <v>6.7448611111111134</v>
      </c>
      <c r="F11" s="146">
        <f>'OpHrs (Ref)'!X39</f>
        <v>8.806122685185187</v>
      </c>
      <c r="G11" s="146">
        <f>'OpHrs (Ref)'!Y39</f>
        <v>10.619861111111113</v>
      </c>
      <c r="H11" s="146">
        <f>'OpHrs (Ref)'!Z39</f>
        <v>4.9311226851851853</v>
      </c>
      <c r="I11" s="38"/>
      <c r="J11" s="134">
        <f t="shared" si="1"/>
        <v>373.22361111111104</v>
      </c>
      <c r="K11" s="134">
        <f t="shared" si="2"/>
        <v>161.87666666666672</v>
      </c>
      <c r="L11" s="134">
        <f t="shared" si="3"/>
        <v>211.34694444444449</v>
      </c>
      <c r="M11" s="134">
        <f t="shared" si="4"/>
        <v>254.87666666666672</v>
      </c>
      <c r="N11" s="134">
        <f t="shared" si="5"/>
        <v>118.34694444444445</v>
      </c>
      <c r="T11" s="150"/>
    </row>
    <row r="12" spans="1:27">
      <c r="C12" s="10" t="s">
        <v>497</v>
      </c>
      <c r="D12" s="146">
        <f>'OpHrs (Ref)'!AE38</f>
        <v>13.366296296296298</v>
      </c>
      <c r="E12" s="146">
        <f>'OpHrs (Ref)'!AF38</f>
        <v>5.4156712962962956</v>
      </c>
      <c r="F12" s="146">
        <f>'OpHrs (Ref)'!AG38</f>
        <v>7.9506249999999996</v>
      </c>
      <c r="G12" s="146">
        <f>'OpHrs (Ref)'!AH38</f>
        <v>9.1656712962962974</v>
      </c>
      <c r="H12" s="146">
        <f>'OpHrs (Ref)'!AI38</f>
        <v>4.2006250000000005</v>
      </c>
      <c r="I12" s="38"/>
      <c r="J12" s="134">
        <f t="shared" si="1"/>
        <v>320.79111111111115</v>
      </c>
      <c r="K12" s="134">
        <f t="shared" si="2"/>
        <v>129.97611111111109</v>
      </c>
      <c r="L12" s="134">
        <f t="shared" si="3"/>
        <v>190.815</v>
      </c>
      <c r="M12" s="134">
        <f t="shared" si="4"/>
        <v>219.97611111111115</v>
      </c>
      <c r="N12" s="134">
        <f t="shared" si="5"/>
        <v>100.81500000000001</v>
      </c>
    </row>
    <row r="13" spans="1:27">
      <c r="C13" s="10" t="s">
        <v>498</v>
      </c>
      <c r="D13" s="146">
        <f>'OpHrs (Ref)'!D75</f>
        <v>12.335659722222225</v>
      </c>
      <c r="E13" s="146">
        <f>'OpHrs (Ref)'!E75</f>
        <v>4.932662037037038</v>
      </c>
      <c r="F13" s="146">
        <f>'OpHrs (Ref)'!F75</f>
        <v>7.402997685185186</v>
      </c>
      <c r="G13" s="146">
        <f>'OpHrs (Ref)'!G75</f>
        <v>8.8076620370370353</v>
      </c>
      <c r="H13" s="146">
        <f>'OpHrs (Ref)'!H75</f>
        <v>3.5279976851851842</v>
      </c>
      <c r="I13" s="38"/>
      <c r="J13" s="134">
        <f t="shared" si="1"/>
        <v>296.0558333333334</v>
      </c>
      <c r="K13" s="134">
        <f t="shared" si="2"/>
        <v>118.38388888888892</v>
      </c>
      <c r="L13" s="134">
        <f t="shared" si="3"/>
        <v>177.67194444444448</v>
      </c>
      <c r="M13" s="134">
        <f t="shared" si="4"/>
        <v>211.38388888888886</v>
      </c>
      <c r="N13" s="134">
        <f t="shared" si="5"/>
        <v>84.671944444444421</v>
      </c>
      <c r="R13" s="150"/>
      <c r="T13" s="150"/>
    </row>
    <row r="14" spans="1:27">
      <c r="C14" s="95" t="s">
        <v>499</v>
      </c>
      <c r="D14" s="147">
        <f>'OpHrs (Ref)'!M74</f>
        <v>11.213252314814818</v>
      </c>
      <c r="E14" s="147">
        <f>'OpHrs (Ref)'!N74</f>
        <v>4.3339004629629629</v>
      </c>
      <c r="F14" s="147">
        <f>'OpHrs (Ref)'!O74</f>
        <v>6.8793518518518519</v>
      </c>
      <c r="G14" s="147">
        <f>'OpHrs (Ref)'!P74</f>
        <v>8.0839004629629638</v>
      </c>
      <c r="H14" s="147">
        <f>'OpHrs (Ref)'!Q74</f>
        <v>3.1293518518518528</v>
      </c>
      <c r="I14" s="89"/>
      <c r="J14" s="135">
        <f t="shared" si="1"/>
        <v>269.11805555555566</v>
      </c>
      <c r="K14" s="135">
        <f t="shared" si="2"/>
        <v>104.01361111111112</v>
      </c>
      <c r="L14" s="135">
        <f t="shared" si="3"/>
        <v>165.10444444444445</v>
      </c>
      <c r="M14" s="135">
        <f t="shared" si="4"/>
        <v>194.01361111111112</v>
      </c>
      <c r="N14" s="135">
        <f t="shared" si="5"/>
        <v>75.104444444444468</v>
      </c>
      <c r="U14" s="38"/>
      <c r="V14" s="38"/>
      <c r="W14" s="38"/>
      <c r="X14" s="38"/>
    </row>
    <row r="15" spans="1:27">
      <c r="C15" s="10" t="s">
        <v>500</v>
      </c>
      <c r="D15" s="146">
        <f>'OpHrs (Ref)'!V75</f>
        <v>11.96111111111111</v>
      </c>
      <c r="E15" s="146">
        <f>'OpHrs (Ref)'!W75</f>
        <v>4.561608796296297</v>
      </c>
      <c r="F15" s="146">
        <f>'OpHrs (Ref)'!X75</f>
        <v>7.399502314814816</v>
      </c>
      <c r="G15" s="146">
        <f>'OpHrs (Ref)'!Y75</f>
        <v>8.4366087962962961</v>
      </c>
      <c r="H15" s="146">
        <f>'OpHrs (Ref)'!Z75</f>
        <v>3.5245023148148142</v>
      </c>
      <c r="I15" s="38"/>
      <c r="J15" s="136">
        <f t="shared" si="1"/>
        <v>287.06666666666666</v>
      </c>
      <c r="K15" s="136">
        <f t="shared" si="2"/>
        <v>109.47861111111112</v>
      </c>
      <c r="L15" s="136">
        <f t="shared" si="3"/>
        <v>177.58805555555557</v>
      </c>
      <c r="M15" s="136">
        <f t="shared" si="4"/>
        <v>202.47861111111109</v>
      </c>
      <c r="N15" s="136">
        <f t="shared" si="5"/>
        <v>84.588055555555542</v>
      </c>
      <c r="U15" s="38"/>
      <c r="V15" s="38"/>
      <c r="W15" s="38"/>
      <c r="X15" s="38"/>
    </row>
    <row r="16" spans="1:27">
      <c r="C16" s="10" t="s">
        <v>501</v>
      </c>
      <c r="D16" s="146">
        <f>'OpHrs (Ref)'!AE75</f>
        <v>13.253518518518517</v>
      </c>
      <c r="E16" s="146">
        <f>'OpHrs (Ref)'!AF75</f>
        <v>5.2497569444444432</v>
      </c>
      <c r="F16" s="146">
        <f>'OpHrs (Ref)'!AG75</f>
        <v>8.0037615740740726</v>
      </c>
      <c r="G16" s="146">
        <f>'OpHrs (Ref)'!AH75</f>
        <v>9.1247569444444476</v>
      </c>
      <c r="H16" s="146">
        <f>'OpHrs (Ref)'!AI75</f>
        <v>4.1287615740740735</v>
      </c>
      <c r="I16" s="38"/>
      <c r="J16" s="136">
        <f t="shared" si="1"/>
        <v>318.08444444444439</v>
      </c>
      <c r="K16" s="136">
        <f t="shared" si="2"/>
        <v>125.99416666666664</v>
      </c>
      <c r="L16" s="136">
        <f t="shared" si="3"/>
        <v>192.09027777777774</v>
      </c>
      <c r="M16" s="136">
        <f t="shared" si="4"/>
        <v>218.99416666666673</v>
      </c>
      <c r="N16" s="136">
        <f t="shared" si="5"/>
        <v>99.090277777777771</v>
      </c>
      <c r="U16" s="38"/>
      <c r="V16" s="38"/>
      <c r="W16" s="38"/>
      <c r="X16" s="38"/>
    </row>
    <row r="17" spans="3:24">
      <c r="C17" s="16" t="s">
        <v>502</v>
      </c>
      <c r="D17" s="148">
        <f>'OpHrs (Ref)'!D110</f>
        <v>14.435162037037037</v>
      </c>
      <c r="E17" s="148">
        <f>'OpHrs (Ref)'!E110</f>
        <v>6.0713888888888885</v>
      </c>
      <c r="F17" s="148">
        <f>'OpHrs (Ref)'!F110</f>
        <v>8.3637731481481463</v>
      </c>
      <c r="G17" s="148">
        <f>'OpHrs (Ref)'!G110</f>
        <v>9.8213888888888903</v>
      </c>
      <c r="H17" s="148">
        <f>'OpHrs (Ref)'!H110</f>
        <v>4.613773148148149</v>
      </c>
      <c r="I17" s="140"/>
      <c r="J17" s="137">
        <f t="shared" si="1"/>
        <v>346.44388888888886</v>
      </c>
      <c r="K17" s="137">
        <f t="shared" si="2"/>
        <v>145.71333333333331</v>
      </c>
      <c r="L17" s="137">
        <f t="shared" si="3"/>
        <v>200.7305555555555</v>
      </c>
      <c r="M17" s="137">
        <f t="shared" si="4"/>
        <v>235.71333333333337</v>
      </c>
      <c r="N17" s="137">
        <f t="shared" si="5"/>
        <v>110.73055555555558</v>
      </c>
      <c r="U17" s="38"/>
      <c r="V17" s="38"/>
      <c r="W17" s="38"/>
      <c r="X17" s="38"/>
    </row>
    <row r="18" spans="3:24">
      <c r="C18" s="10" t="s">
        <v>503</v>
      </c>
      <c r="D18" s="146">
        <f>'OpHrs (Ref)'!M111</f>
        <v>16.643877314814819</v>
      </c>
      <c r="E18" s="146">
        <f>'OpHrs (Ref)'!N111</f>
        <v>7.3317824074074078</v>
      </c>
      <c r="F18" s="146">
        <f>'OpHrs (Ref)'!O111</f>
        <v>9.312094907407408</v>
      </c>
      <c r="G18" s="146">
        <f>'OpHrs (Ref)'!P111</f>
        <v>11.206782407407408</v>
      </c>
      <c r="H18" s="146">
        <f>'OpHrs (Ref)'!Q111</f>
        <v>5.437094907407408</v>
      </c>
      <c r="I18" s="38"/>
      <c r="J18" s="134">
        <f t="shared" si="1"/>
        <v>399.45305555555569</v>
      </c>
      <c r="K18" s="134">
        <f t="shared" si="2"/>
        <v>175.96277777777777</v>
      </c>
      <c r="L18" s="134">
        <f t="shared" si="3"/>
        <v>223.49027777777781</v>
      </c>
      <c r="M18" s="134">
        <f t="shared" si="4"/>
        <v>268.96277777777777</v>
      </c>
      <c r="N18" s="134">
        <f t="shared" si="5"/>
        <v>130.49027777777781</v>
      </c>
    </row>
    <row r="19" spans="3:24">
      <c r="C19" s="10" t="s">
        <v>504</v>
      </c>
      <c r="D19" s="146">
        <f>'OpHrs (Ref)'!V110</f>
        <v>17.575891203703708</v>
      </c>
      <c r="E19" s="146">
        <f>'OpHrs (Ref)'!W110</f>
        <v>8.9265046296296298</v>
      </c>
      <c r="F19" s="146">
        <f>'OpHrs (Ref)'!X110</f>
        <v>8.6493865740740734</v>
      </c>
      <c r="G19" s="146">
        <f>'OpHrs (Ref)'!Y110</f>
        <v>12.676504629629626</v>
      </c>
      <c r="H19" s="146">
        <f>'OpHrs (Ref)'!Z110</f>
        <v>4.8993865740740743</v>
      </c>
      <c r="I19" s="38"/>
      <c r="J19" s="134">
        <f t="shared" si="1"/>
        <v>421.82138888888903</v>
      </c>
      <c r="K19" s="134">
        <f t="shared" si="2"/>
        <v>214.23611111111111</v>
      </c>
      <c r="L19" s="134">
        <f t="shared" si="3"/>
        <v>207.58527777777778</v>
      </c>
      <c r="M19" s="134">
        <f t="shared" si="4"/>
        <v>304.23611111111103</v>
      </c>
      <c r="N19" s="134">
        <f t="shared" si="5"/>
        <v>117.58527777777778</v>
      </c>
    </row>
    <row r="20" spans="3:24">
      <c r="C20" s="16" t="s">
        <v>505</v>
      </c>
      <c r="D20" s="148">
        <f>'OpHrs (Ref)'!AE111</f>
        <v>18.951921296296298</v>
      </c>
      <c r="E20" s="148">
        <f>'OpHrs (Ref)'!AF111</f>
        <v>9.5603472222222212</v>
      </c>
      <c r="F20" s="148">
        <f>'OpHrs (Ref)'!AG111</f>
        <v>9.3915740740740734</v>
      </c>
      <c r="G20" s="148">
        <f>'OpHrs (Ref)'!AH111</f>
        <v>13.435347222222219</v>
      </c>
      <c r="H20" s="148">
        <f>'OpHrs (Ref)'!AI111</f>
        <v>5.5165740740740743</v>
      </c>
      <c r="I20" s="38"/>
      <c r="J20" s="138">
        <f t="shared" si="1"/>
        <v>454.84611111111116</v>
      </c>
      <c r="K20" s="138">
        <f t="shared" si="2"/>
        <v>229.44833333333332</v>
      </c>
      <c r="L20" s="138">
        <f t="shared" si="3"/>
        <v>225.39777777777778</v>
      </c>
      <c r="M20" s="138">
        <f t="shared" si="4"/>
        <v>322.44833333333327</v>
      </c>
      <c r="N20" s="138">
        <f t="shared" si="5"/>
        <v>132.39777777777778</v>
      </c>
    </row>
    <row r="21" spans="3:24">
      <c r="C21" s="1"/>
      <c r="D21" s="38"/>
      <c r="E21" s="38"/>
      <c r="F21" s="38"/>
      <c r="G21" s="38"/>
      <c r="H21" s="38"/>
      <c r="I21" s="38"/>
      <c r="J21" s="38"/>
      <c r="K21" s="38"/>
      <c r="L21" s="38"/>
      <c r="M21" s="38"/>
      <c r="N21" s="38"/>
    </row>
    <row r="22" spans="3:24">
      <c r="C22" s="95" t="s">
        <v>506</v>
      </c>
      <c r="D22" s="147">
        <f>SUM(D9:D13,D18:D20)</f>
        <v>128.49796296296296</v>
      </c>
      <c r="E22" s="147">
        <f>SUM(E9:E13,E18:E20)</f>
        <v>59.457893518518517</v>
      </c>
      <c r="F22" s="147">
        <f>SUM(F9:F13,F18:F20)</f>
        <v>69.040069444444441</v>
      </c>
      <c r="G22" s="147">
        <f>SUM(G9:G13,G18:G20)</f>
        <v>89.832893518518517</v>
      </c>
      <c r="H22" s="147">
        <f>SUM(H9:H13,H18:H20)</f>
        <v>38.665069444444441</v>
      </c>
      <c r="I22" s="141"/>
      <c r="J22" s="149">
        <f t="shared" ref="J22:N22" si="6">SUM(J9:J13,J18:J20)</f>
        <v>3083.951111111111</v>
      </c>
      <c r="K22" s="149">
        <f t="shared" si="6"/>
        <v>1426.9894444444444</v>
      </c>
      <c r="L22" s="149">
        <f t="shared" si="6"/>
        <v>1656.9616666666666</v>
      </c>
      <c r="M22" s="149">
        <f t="shared" si="6"/>
        <v>2155.9894444444444</v>
      </c>
      <c r="N22" s="149">
        <f t="shared" si="6"/>
        <v>927.96166666666659</v>
      </c>
    </row>
    <row r="23" spans="3:24">
      <c r="C23" s="10" t="s">
        <v>507</v>
      </c>
      <c r="D23" s="146">
        <f>SUM(D14:D17)</f>
        <v>50.863043981481482</v>
      </c>
      <c r="E23" s="146">
        <f>SUM(E14:E17)</f>
        <v>20.216655092592589</v>
      </c>
      <c r="F23" s="146">
        <f>SUM(F14:F17)</f>
        <v>30.646388888888886</v>
      </c>
      <c r="G23" s="146">
        <f>SUM(G14:G17)</f>
        <v>35.466655092592596</v>
      </c>
      <c r="H23" s="146">
        <f>SUM(H14:H17)</f>
        <v>15.39638888888889</v>
      </c>
      <c r="I23" s="142"/>
      <c r="J23" s="136">
        <f t="shared" ref="J23:N23" si="7">SUM(J14:J17)</f>
        <v>1220.7130555555555</v>
      </c>
      <c r="K23" s="136">
        <f t="shared" si="7"/>
        <v>485.19972222222219</v>
      </c>
      <c r="L23" s="136">
        <f t="shared" si="7"/>
        <v>735.51333333333321</v>
      </c>
      <c r="M23" s="136">
        <f t="shared" si="7"/>
        <v>851.19972222222236</v>
      </c>
      <c r="N23" s="136">
        <f t="shared" si="7"/>
        <v>369.51333333333332</v>
      </c>
    </row>
    <row r="24" spans="3:24">
      <c r="C24" s="16" t="s">
        <v>508</v>
      </c>
      <c r="D24" s="148">
        <f>SUM(D9:D20)</f>
        <v>179.36100694444445</v>
      </c>
      <c r="E24" s="148">
        <f>SUM(E9:E20)</f>
        <v>79.674548611111121</v>
      </c>
      <c r="F24" s="148">
        <f>SUM(F9:F20)</f>
        <v>99.686458333333334</v>
      </c>
      <c r="G24" s="148">
        <f>SUM(G9:G20)</f>
        <v>125.29954861111111</v>
      </c>
      <c r="H24" s="148">
        <f>SUM(H9:H20)</f>
        <v>54.061458333333327</v>
      </c>
      <c r="I24" s="143"/>
      <c r="J24" s="139">
        <f t="shared" ref="J24:N24" si="8">SUM(J9:J20)</f>
        <v>4304.6641666666665</v>
      </c>
      <c r="K24" s="139">
        <f t="shared" si="8"/>
        <v>1912.1891666666668</v>
      </c>
      <c r="L24" s="139">
        <f t="shared" si="8"/>
        <v>2392.4749999999999</v>
      </c>
      <c r="M24" s="139">
        <f t="shared" si="8"/>
        <v>3007.189166666667</v>
      </c>
      <c r="N24" s="139">
        <f t="shared" si="8"/>
        <v>1297.4749999999999</v>
      </c>
    </row>
    <row r="28" spans="3:24">
      <c r="C28" s="158"/>
      <c r="D28" s="560" t="s">
        <v>509</v>
      </c>
      <c r="E28" s="560"/>
    </row>
    <row r="29" spans="3:24">
      <c r="C29" s="159" t="s">
        <v>510</v>
      </c>
      <c r="D29" s="151" t="s">
        <v>57</v>
      </c>
      <c r="E29" s="154" t="s">
        <v>59</v>
      </c>
    </row>
    <row r="30" spans="3:24">
      <c r="C30" s="10" t="s">
        <v>71</v>
      </c>
      <c r="D30" s="152">
        <f>K23</f>
        <v>485.19972222222219</v>
      </c>
      <c r="E30" s="155">
        <f>K22</f>
        <v>1426.9894444444444</v>
      </c>
    </row>
    <row r="31" spans="3:24">
      <c r="C31" s="10" t="s">
        <v>72</v>
      </c>
      <c r="D31" s="152">
        <f>(L23-N23)</f>
        <v>365.99999999999989</v>
      </c>
      <c r="E31" s="155">
        <f>(L22-N22)</f>
        <v>729</v>
      </c>
    </row>
    <row r="32" spans="3:24">
      <c r="C32" s="16" t="s">
        <v>73</v>
      </c>
      <c r="D32" s="153">
        <f>N23</f>
        <v>369.51333333333332</v>
      </c>
      <c r="E32" s="156">
        <f>N22</f>
        <v>927.96166666666659</v>
      </c>
    </row>
    <row r="34" spans="3:5">
      <c r="C34" s="12" t="s">
        <v>511</v>
      </c>
      <c r="D34" s="157">
        <f>SUM(D30:E32)</f>
        <v>4304.6641666666665</v>
      </c>
      <c r="E34" t="s">
        <v>512</v>
      </c>
    </row>
  </sheetData>
  <mergeCells count="3">
    <mergeCell ref="D28:E28"/>
    <mergeCell ref="D7:H7"/>
    <mergeCell ref="J7:N7"/>
  </mergeCells>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534A3-E9AE-422C-9DA9-54D762586478}">
  <sheetPr codeName="Sheet2">
    <tabColor theme="6"/>
  </sheetPr>
  <dimension ref="A1:Q31"/>
  <sheetViews>
    <sheetView tabSelected="1" zoomScale="115" zoomScaleNormal="115" workbookViewId="0">
      <selection activeCell="E16" sqref="E16"/>
    </sheetView>
  </sheetViews>
  <sheetFormatPr defaultRowHeight="15"/>
  <cols>
    <col min="3" max="3" width="16.5703125" customWidth="1"/>
    <col min="4" max="4" width="9.140625" style="38"/>
    <col min="11" max="11" width="2.140625" customWidth="1"/>
    <col min="12" max="12" width="41.85546875" bestFit="1" customWidth="1"/>
    <col min="13" max="13" width="2" customWidth="1"/>
    <col min="15" max="15" width="2.28515625" customWidth="1"/>
    <col min="17" max="17" width="3.28515625" customWidth="1"/>
  </cols>
  <sheetData>
    <row r="1" spans="1:17" ht="38.25" customHeight="1">
      <c r="A1" s="344" t="s">
        <v>48</v>
      </c>
      <c r="B1" s="209"/>
      <c r="C1" s="209"/>
      <c r="D1" s="209"/>
      <c r="E1" s="210"/>
      <c r="F1" s="209"/>
      <c r="G1" s="209"/>
      <c r="H1" s="209"/>
      <c r="I1" s="209"/>
      <c r="J1" s="211"/>
      <c r="K1" s="209"/>
      <c r="L1" s="209"/>
      <c r="M1" s="208"/>
      <c r="N1" s="208"/>
      <c r="O1" s="208"/>
      <c r="P1" s="208"/>
      <c r="Q1" s="208"/>
    </row>
    <row r="4" spans="1:17" ht="22.5" customHeight="1">
      <c r="C4" s="554" t="s">
        <v>49</v>
      </c>
      <c r="D4" s="554"/>
      <c r="E4" s="554"/>
      <c r="F4" s="554"/>
      <c r="G4" s="554"/>
      <c r="H4" s="554"/>
      <c r="I4" s="554"/>
      <c r="L4" s="554" t="s">
        <v>50</v>
      </c>
      <c r="M4" s="554"/>
      <c r="N4" s="554"/>
      <c r="O4" s="554"/>
      <c r="P4" s="554"/>
      <c r="Q4" s="247"/>
    </row>
    <row r="6" spans="1:17" ht="15" customHeight="1">
      <c r="C6" s="1" t="s">
        <v>51</v>
      </c>
      <c r="D6" s="56">
        <v>20</v>
      </c>
      <c r="E6" t="s">
        <v>52</v>
      </c>
      <c r="L6" s="132"/>
      <c r="N6" s="11" t="s">
        <v>53</v>
      </c>
      <c r="O6" s="132"/>
      <c r="P6" s="243"/>
    </row>
    <row r="7" spans="1:17" ht="15" customHeight="1">
      <c r="C7" s="1"/>
      <c r="L7" s="16" t="s">
        <v>54</v>
      </c>
      <c r="N7" s="542" t="str">
        <f>'ROI (ref)'!Y7</f>
        <v>(Years)</v>
      </c>
      <c r="O7" s="208"/>
      <c r="P7" s="244" t="str">
        <f>'ROI (ref)'!AA7</f>
        <v>ROI</v>
      </c>
    </row>
    <row r="8" spans="1:17" ht="15" customHeight="1">
      <c r="E8" t="s">
        <v>55</v>
      </c>
      <c r="L8" s="511" t="str">
        <f>'ROI (ref)'!A8</f>
        <v>Model High School - Base Case</v>
      </c>
      <c r="N8" s="132"/>
      <c r="O8" s="132"/>
      <c r="P8" s="243"/>
    </row>
    <row r="9" spans="1:17" ht="15" customHeight="1">
      <c r="C9" s="106" t="s">
        <v>56</v>
      </c>
      <c r="D9" s="140"/>
      <c r="E9" s="31"/>
      <c r="F9" s="31"/>
      <c r="L9" s="511" t="str">
        <f>'ROI (ref)'!A9</f>
        <v>Model High School - Retrofit 1 (50% dim)</v>
      </c>
      <c r="N9" s="261">
        <f>'ROI (ref)'!Y9</f>
        <v>5.6827145851371581</v>
      </c>
      <c r="O9" s="1"/>
      <c r="P9" s="262">
        <f>'ROI (ref)'!AA9</f>
        <v>0.17597223739081452</v>
      </c>
    </row>
    <row r="10" spans="1:17" ht="15" customHeight="1">
      <c r="C10" s="1"/>
      <c r="L10" s="511" t="str">
        <f>'ROI (ref)'!A10</f>
        <v>Model High School - Retrofit 2 (80% dim)</v>
      </c>
      <c r="N10" s="263">
        <f>'ROI (ref)'!Y10</f>
        <v>5.0744261364853811</v>
      </c>
      <c r="O10" s="106"/>
      <c r="P10" s="264">
        <f>'ROI (ref)'!AA10</f>
        <v>0.19706661858962715</v>
      </c>
    </row>
    <row r="11" spans="1:17" ht="15" customHeight="1">
      <c r="C11" s="1" t="s">
        <v>57</v>
      </c>
      <c r="D11" s="199">
        <v>0.1071</v>
      </c>
      <c r="E11" s="162" t="s">
        <v>58</v>
      </c>
      <c r="L11" s="512" t="str">
        <f>'ROI (ref)'!A11</f>
        <v>College Ave (Roadway) - Base Case</v>
      </c>
      <c r="N11" s="132"/>
      <c r="O11" s="132"/>
      <c r="P11" s="243"/>
    </row>
    <row r="12" spans="1:17" ht="15" customHeight="1">
      <c r="C12" s="1" t="s">
        <v>59</v>
      </c>
      <c r="D12" s="199">
        <v>0.1208</v>
      </c>
      <c r="E12" s="162" t="s">
        <v>58</v>
      </c>
      <c r="L12" s="513" t="str">
        <f>'ROI (ref)'!A12</f>
        <v>College Ave (Roadway) - Retrofit 1 (50% dim)</v>
      </c>
      <c r="N12" s="261">
        <f>'ROI (ref)'!Y12</f>
        <v>12.86167492044305</v>
      </c>
      <c r="O12" s="1"/>
      <c r="P12" s="262">
        <f>'ROI (ref)'!AA12</f>
        <v>7.7750371253011943E-2</v>
      </c>
    </row>
    <row r="13" spans="1:17" ht="15" customHeight="1">
      <c r="C13" s="1" t="s">
        <v>60</v>
      </c>
      <c r="D13" s="199">
        <v>0</v>
      </c>
      <c r="E13" s="162" t="s">
        <v>61</v>
      </c>
      <c r="L13" s="513" t="str">
        <f>'ROI (ref)'!A13</f>
        <v>College Ave (Roadway) - Retrofit 2 (80% dim)</v>
      </c>
      <c r="N13" s="263">
        <f>'ROI (ref)'!Y13</f>
        <v>13.661562521677087</v>
      </c>
      <c r="O13" s="106"/>
      <c r="P13" s="264">
        <f>'ROI (ref)'!AA13</f>
        <v>7.3198069284774639E-2</v>
      </c>
    </row>
    <row r="14" spans="1:17" ht="15" customHeight="1">
      <c r="L14" s="514" t="str">
        <f>'ROI (ref)'!A14</f>
        <v>College Ave (Area) - Base Case</v>
      </c>
      <c r="N14" s="132"/>
      <c r="O14" s="132"/>
      <c r="P14" s="243"/>
    </row>
    <row r="15" spans="1:17" ht="15" customHeight="1">
      <c r="C15" s="1" t="s">
        <v>62</v>
      </c>
      <c r="D15" s="56">
        <v>2</v>
      </c>
      <c r="E15" t="s">
        <v>63</v>
      </c>
      <c r="L15" s="515" t="str">
        <f>'ROI (ref)'!A15</f>
        <v>College Ave (Area) - Retrofit 1 (50% dim)</v>
      </c>
      <c r="N15" s="261">
        <f>'ROI (ref)'!Y15</f>
        <v>3.8480348992428985</v>
      </c>
      <c r="O15" s="1"/>
      <c r="P15" s="262">
        <f>'ROI (ref)'!AA15</f>
        <v>0.2598729029710074</v>
      </c>
    </row>
    <row r="16" spans="1:17" ht="15" customHeight="1">
      <c r="E16" t="s">
        <v>64</v>
      </c>
      <c r="L16" s="515" t="str">
        <f>'ROI (ref)'!A16</f>
        <v>College Ave (Area) - Retrofit 2 (80% dim)</v>
      </c>
      <c r="N16" s="263">
        <f>'ROI (ref)'!Y16</f>
        <v>3.9425277039233952</v>
      </c>
      <c r="O16" s="106"/>
      <c r="P16" s="264">
        <f>'ROI (ref)'!AA16</f>
        <v>0.25364438124425931</v>
      </c>
    </row>
    <row r="17" spans="3:16" ht="15" customHeight="1">
      <c r="L17" s="516" t="str">
        <f>'ROI (ref)'!A17</f>
        <v>College Ave (Decorative) - Base Case</v>
      </c>
      <c r="N17" s="132"/>
      <c r="O17" s="132"/>
      <c r="P17" s="243"/>
    </row>
    <row r="18" spans="3:16" ht="15" customHeight="1">
      <c r="L18" s="517" t="str">
        <f>'ROI (ref)'!A18</f>
        <v>College Ave (Decorative) - Retrofit 1 (50% dim)</v>
      </c>
      <c r="N18" s="261">
        <f>'ROI (ref)'!Y18</f>
        <v>10.286428231789536</v>
      </c>
      <c r="O18" s="1"/>
      <c r="P18" s="262">
        <f>'ROI (ref)'!AA18</f>
        <v>9.7215474357713896E-2</v>
      </c>
    </row>
    <row r="19" spans="3:16" ht="15" customHeight="1" thickBot="1">
      <c r="C19" s="246" t="s">
        <v>65</v>
      </c>
      <c r="L19" s="517" t="str">
        <f>'ROI (ref)'!A19</f>
        <v>College Ave (Decorative) - Retrofit 2 (80% dim)</v>
      </c>
      <c r="N19" s="263">
        <f>'ROI (ref)'!Y19</f>
        <v>13.595637239102389</v>
      </c>
      <c r="O19" s="106"/>
      <c r="P19" s="264">
        <f>'ROI (ref)'!AA19</f>
        <v>7.3553006925184919E-2</v>
      </c>
    </row>
    <row r="20" spans="3:16" ht="15" customHeight="1">
      <c r="C20" s="132"/>
      <c r="D20" s="555" t="s">
        <v>66</v>
      </c>
      <c r="E20" s="556"/>
      <c r="F20" s="557"/>
      <c r="G20" s="555" t="s">
        <v>67</v>
      </c>
      <c r="H20" s="556"/>
      <c r="I20" s="557"/>
    </row>
    <row r="21" spans="3:16" ht="15" customHeight="1" thickBot="1">
      <c r="C21" s="132"/>
      <c r="D21" s="248" t="s">
        <v>68</v>
      </c>
      <c r="E21" s="11" t="s">
        <v>69</v>
      </c>
      <c r="F21" s="249" t="s">
        <v>70</v>
      </c>
      <c r="G21" s="248" t="s">
        <v>68</v>
      </c>
      <c r="H21" s="11" t="s">
        <v>69</v>
      </c>
      <c r="I21" s="249" t="s">
        <v>70</v>
      </c>
    </row>
    <row r="22" spans="3:16" ht="15" customHeight="1">
      <c r="C22" s="255" t="s">
        <v>71</v>
      </c>
      <c r="D22" s="256">
        <v>1</v>
      </c>
      <c r="E22" s="257">
        <v>1</v>
      </c>
      <c r="F22" s="258">
        <v>1</v>
      </c>
      <c r="G22" s="256">
        <v>1</v>
      </c>
      <c r="H22" s="257">
        <v>1</v>
      </c>
      <c r="I22" s="258">
        <v>1</v>
      </c>
    </row>
    <row r="23" spans="3:16" ht="15" customHeight="1">
      <c r="C23" s="259" t="s">
        <v>72</v>
      </c>
      <c r="D23" s="250">
        <v>1</v>
      </c>
      <c r="E23" s="217">
        <v>0.5</v>
      </c>
      <c r="F23" s="251">
        <v>0.2</v>
      </c>
      <c r="G23" s="250">
        <v>1</v>
      </c>
      <c r="H23" s="217">
        <v>1</v>
      </c>
      <c r="I23" s="251">
        <v>1</v>
      </c>
    </row>
    <row r="24" spans="3:16" ht="15" customHeight="1" thickBot="1">
      <c r="C24" s="260" t="s">
        <v>73</v>
      </c>
      <c r="D24" s="252">
        <v>1</v>
      </c>
      <c r="E24" s="253">
        <v>0.5</v>
      </c>
      <c r="F24" s="254">
        <v>0.2</v>
      </c>
      <c r="G24" s="252">
        <v>1</v>
      </c>
      <c r="H24" s="253">
        <v>0.5</v>
      </c>
      <c r="I24" s="254">
        <v>0.2</v>
      </c>
    </row>
    <row r="27" spans="3:16">
      <c r="C27" s="106" t="s">
        <v>74</v>
      </c>
      <c r="D27" s="140"/>
      <c r="E27" s="31"/>
    </row>
    <row r="28" spans="3:16">
      <c r="C28" s="1"/>
    </row>
    <row r="29" spans="3:16">
      <c r="C29" s="1" t="s">
        <v>75</v>
      </c>
      <c r="D29" s="340">
        <v>0.01</v>
      </c>
      <c r="E29" s="342" t="s">
        <v>76</v>
      </c>
      <c r="F29" s="342" t="s">
        <v>77</v>
      </c>
    </row>
    <row r="30" spans="3:16">
      <c r="C30" s="1" t="s">
        <v>78</v>
      </c>
      <c r="D30" s="341">
        <f>0.2/100</f>
        <v>2E-3</v>
      </c>
      <c r="E30" s="342" t="s">
        <v>76</v>
      </c>
    </row>
    <row r="31" spans="3:16">
      <c r="C31" s="1"/>
    </row>
  </sheetData>
  <mergeCells count="4">
    <mergeCell ref="C4:I4"/>
    <mergeCell ref="L4:P4"/>
    <mergeCell ref="G20:I20"/>
    <mergeCell ref="D20:F20"/>
  </mergeCells>
  <dataValidations count="1">
    <dataValidation type="whole" allowBlank="1" showInputMessage="1" showErrorMessage="1" sqref="D15" xr:uid="{041BB2E2-6150-4D4C-AD55-B8B58CC9320D}">
      <formula1>1</formula1>
      <formula2>2</formula2>
    </dataValidation>
  </dataValidations>
  <hyperlinks>
    <hyperlink ref="E30" r:id="rId1" location=":~:text=LED%20components%20can%20be%20designed,%3A%200.2%25%20per%201000%20hours" xr:uid="{9DDE3E8B-CBCE-4012-BC0B-42952CAE3FC7}"/>
    <hyperlink ref="E29" r:id="rId2" location=":~:text=According%20to%20failure%20analysis%20of,originate%20from%20LED%20driver%20failures" xr:uid="{1EFCEC2E-7DF8-4465-8372-C754999A625C}"/>
    <hyperlink ref="F29" r:id="rId3" xr:uid="{19D187E0-D5E2-4574-9399-3D75400EF6B2}"/>
  </hyperlinks>
  <pageMargins left="0.7" right="0.7" top="0.75" bottom="0.75" header="0.3" footer="0.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8D030-BDBA-4379-A7BB-AFBF98B20B2C}">
  <sheetPr codeName="Sheet3">
    <tabColor theme="7" tint="0.79998168889431442"/>
  </sheetPr>
  <dimension ref="A1:U41"/>
  <sheetViews>
    <sheetView zoomScaleNormal="100" workbookViewId="0">
      <selection activeCell="A3" sqref="A3"/>
    </sheetView>
  </sheetViews>
  <sheetFormatPr defaultRowHeight="15"/>
  <cols>
    <col min="1" max="1" width="24.85546875" customWidth="1"/>
    <col min="2" max="2" width="13.85546875" customWidth="1"/>
    <col min="3" max="3" width="32.7109375" customWidth="1"/>
    <col min="4" max="4" width="9.85546875" style="38" customWidth="1"/>
    <col min="5" max="5" width="32.7109375" customWidth="1"/>
    <col min="6" max="7" width="12.7109375" style="150" customWidth="1"/>
    <col min="8" max="8" width="16.5703125" customWidth="1"/>
    <col min="9" max="11" width="15.7109375" customWidth="1"/>
    <col min="12" max="12" width="18.7109375" customWidth="1"/>
    <col min="13" max="13" width="15.7109375" customWidth="1"/>
    <col min="14" max="14" width="17.85546875" customWidth="1"/>
    <col min="15" max="17" width="18.7109375" customWidth="1"/>
  </cols>
  <sheetData>
    <row r="1" spans="1:21" ht="38.25" customHeight="1">
      <c r="A1" s="209" t="s">
        <v>79</v>
      </c>
      <c r="B1" s="209"/>
      <c r="C1" s="209"/>
      <c r="D1" s="209"/>
      <c r="E1" s="209"/>
      <c r="F1" s="210"/>
      <c r="G1" s="210"/>
      <c r="H1" s="209"/>
      <c r="I1" s="209"/>
      <c r="J1" s="209"/>
      <c r="K1" s="209"/>
      <c r="L1" s="209"/>
      <c r="M1" s="209"/>
      <c r="N1" s="209"/>
      <c r="O1" s="209"/>
      <c r="P1" s="209"/>
      <c r="Q1" s="209"/>
      <c r="U1" s="1"/>
    </row>
    <row r="2" spans="1:21">
      <c r="A2" s="2"/>
      <c r="B2" s="3"/>
      <c r="C2" s="3"/>
      <c r="D2" s="3"/>
      <c r="E2" s="3"/>
      <c r="F2" s="403"/>
      <c r="G2" s="403"/>
      <c r="H2" s="1"/>
      <c r="I2" s="3"/>
      <c r="J2" s="3"/>
      <c r="K2" s="3"/>
      <c r="L2" s="3"/>
      <c r="M2" s="3"/>
      <c r="N2" s="3"/>
      <c r="O2" s="3"/>
      <c r="P2" s="3"/>
      <c r="Q2" s="3"/>
      <c r="U2" s="1"/>
    </row>
    <row r="3" spans="1:21" ht="18.75">
      <c r="A3" s="530" t="s">
        <v>66</v>
      </c>
      <c r="B3" s="5"/>
      <c r="C3" s="5"/>
      <c r="D3" s="6"/>
      <c r="E3" s="7"/>
      <c r="F3" s="404"/>
      <c r="G3" s="467"/>
    </row>
    <row r="4" spans="1:21">
      <c r="A4" s="9"/>
      <c r="B4" s="10"/>
      <c r="C4" s="10"/>
      <c r="D4" s="11"/>
      <c r="E4" s="11"/>
      <c r="F4" s="558" t="s">
        <v>80</v>
      </c>
      <c r="G4" s="559"/>
      <c r="H4" s="1"/>
      <c r="I4" s="455"/>
      <c r="J4" s="455"/>
      <c r="K4" s="455"/>
      <c r="L4" s="61"/>
      <c r="N4" s="455"/>
      <c r="O4" s="61"/>
      <c r="P4" s="61"/>
      <c r="Q4" s="61"/>
    </row>
    <row r="5" spans="1:21">
      <c r="A5" s="15" t="s">
        <v>81</v>
      </c>
      <c r="B5" s="16" t="s">
        <v>82</v>
      </c>
      <c r="C5" s="16" t="s">
        <v>83</v>
      </c>
      <c r="D5" s="542" t="s">
        <v>84</v>
      </c>
      <c r="E5" s="542" t="s">
        <v>85</v>
      </c>
      <c r="F5" s="406" t="s">
        <v>86</v>
      </c>
      <c r="G5" s="407" t="s">
        <v>87</v>
      </c>
      <c r="H5" s="1"/>
      <c r="I5" s="456"/>
      <c r="J5" s="456"/>
      <c r="K5" s="457"/>
      <c r="L5" s="61"/>
      <c r="M5" s="3"/>
      <c r="N5" s="457"/>
      <c r="O5" s="61"/>
      <c r="P5" s="61"/>
      <c r="Q5" s="61"/>
    </row>
    <row r="6" spans="1:21">
      <c r="A6" s="475" t="s">
        <v>88</v>
      </c>
      <c r="B6" s="478" t="s">
        <v>89</v>
      </c>
      <c r="C6" s="479" t="s">
        <v>90</v>
      </c>
      <c r="D6" s="74">
        <v>18</v>
      </c>
      <c r="E6" s="47"/>
      <c r="F6" s="472">
        <v>442</v>
      </c>
      <c r="G6" s="408">
        <f>F6*D6</f>
        <v>7956</v>
      </c>
      <c r="H6" s="458"/>
      <c r="I6" s="24"/>
      <c r="J6" s="24"/>
      <c r="K6" s="24"/>
      <c r="L6" s="24"/>
      <c r="M6" s="459"/>
      <c r="N6" s="24"/>
      <c r="O6" s="460"/>
      <c r="P6" s="460"/>
      <c r="Q6" s="24"/>
    </row>
    <row r="7" spans="1:21">
      <c r="A7" s="475" t="s">
        <v>91</v>
      </c>
      <c r="B7" s="478" t="s">
        <v>89</v>
      </c>
      <c r="C7" s="479" t="s">
        <v>90</v>
      </c>
      <c r="D7" s="79">
        <v>4</v>
      </c>
      <c r="E7" s="47"/>
      <c r="F7" s="473">
        <v>442</v>
      </c>
      <c r="G7" s="409">
        <f t="shared" ref="G7:G12" si="0">F7*D7</f>
        <v>1768</v>
      </c>
      <c r="H7" s="458"/>
      <c r="I7" s="24"/>
      <c r="J7" s="24"/>
      <c r="K7" s="24"/>
      <c r="L7" s="24"/>
      <c r="M7" s="459"/>
      <c r="N7" s="24"/>
      <c r="O7" s="460"/>
      <c r="P7" s="460"/>
      <c r="Q7" s="24"/>
    </row>
    <row r="8" spans="1:21">
      <c r="A8" s="476" t="s">
        <v>92</v>
      </c>
      <c r="B8" s="478" t="s">
        <v>89</v>
      </c>
      <c r="C8" s="479" t="s">
        <v>90</v>
      </c>
      <c r="D8" s="79">
        <v>10</v>
      </c>
      <c r="E8" s="384" t="s">
        <v>93</v>
      </c>
      <c r="F8" s="473">
        <f>442*2</f>
        <v>884</v>
      </c>
      <c r="G8" s="409">
        <f t="shared" si="0"/>
        <v>8840</v>
      </c>
      <c r="H8" s="458"/>
      <c r="I8" s="24"/>
      <c r="J8" s="24"/>
      <c r="K8" s="24"/>
      <c r="L8" s="24"/>
      <c r="M8" s="459"/>
      <c r="N8" s="24"/>
      <c r="O8" s="460"/>
      <c r="P8" s="460"/>
      <c r="Q8" s="24"/>
    </row>
    <row r="9" spans="1:21">
      <c r="A9" s="475" t="s">
        <v>94</v>
      </c>
      <c r="B9" s="478" t="s">
        <v>89</v>
      </c>
      <c r="C9" s="479" t="s">
        <v>95</v>
      </c>
      <c r="D9" s="79">
        <v>16</v>
      </c>
      <c r="E9" s="47"/>
      <c r="F9" s="473">
        <v>126</v>
      </c>
      <c r="G9" s="409">
        <f t="shared" si="0"/>
        <v>2016</v>
      </c>
      <c r="H9" s="458"/>
      <c r="I9" s="24"/>
      <c r="J9" s="24"/>
      <c r="K9" s="24"/>
      <c r="L9" s="24"/>
      <c r="M9" s="459"/>
      <c r="N9" s="24"/>
      <c r="O9" s="460"/>
      <c r="P9" s="460"/>
      <c r="Q9" s="24"/>
    </row>
    <row r="10" spans="1:21">
      <c r="A10" s="475" t="s">
        <v>96</v>
      </c>
      <c r="B10" s="478" t="s">
        <v>89</v>
      </c>
      <c r="C10" s="479" t="s">
        <v>97</v>
      </c>
      <c r="D10" s="79">
        <v>19</v>
      </c>
      <c r="E10" s="47"/>
      <c r="F10" s="473">
        <v>183</v>
      </c>
      <c r="G10" s="409">
        <f t="shared" si="0"/>
        <v>3477</v>
      </c>
      <c r="H10" s="458"/>
      <c r="I10" s="24"/>
      <c r="J10" s="24"/>
      <c r="K10" s="24"/>
      <c r="L10" s="24"/>
      <c r="M10" s="459"/>
      <c r="N10" s="24"/>
      <c r="O10" s="460"/>
      <c r="P10" s="460"/>
      <c r="Q10" s="24"/>
    </row>
    <row r="11" spans="1:21">
      <c r="A11" s="475" t="s">
        <v>98</v>
      </c>
      <c r="B11" s="478" t="s">
        <v>89</v>
      </c>
      <c r="C11" s="479" t="s">
        <v>99</v>
      </c>
      <c r="D11" s="79">
        <v>1</v>
      </c>
      <c r="E11" s="384"/>
      <c r="F11" s="473">
        <v>88</v>
      </c>
      <c r="G11" s="409">
        <f t="shared" si="0"/>
        <v>88</v>
      </c>
      <c r="H11" s="458"/>
      <c r="I11" s="24"/>
      <c r="J11" s="24"/>
      <c r="K11" s="24"/>
      <c r="L11" s="24"/>
      <c r="M11" s="459"/>
      <c r="N11" s="24"/>
      <c r="O11" s="460"/>
      <c r="P11" s="460"/>
      <c r="Q11" s="24"/>
    </row>
    <row r="12" spans="1:21">
      <c r="A12" s="477" t="s">
        <v>100</v>
      </c>
      <c r="B12" s="478" t="s">
        <v>101</v>
      </c>
      <c r="C12" s="480" t="s">
        <v>102</v>
      </c>
      <c r="D12" s="50">
        <v>6</v>
      </c>
      <c r="E12" s="385"/>
      <c r="F12" s="474">
        <v>44</v>
      </c>
      <c r="G12" s="410">
        <f t="shared" si="0"/>
        <v>264</v>
      </c>
      <c r="H12" s="458"/>
      <c r="I12" s="24"/>
      <c r="J12" s="24"/>
      <c r="K12" s="24"/>
      <c r="L12" s="24"/>
      <c r="M12" s="459"/>
      <c r="N12" s="24"/>
      <c r="O12" s="460"/>
      <c r="P12" s="460"/>
      <c r="Q12" s="24"/>
    </row>
    <row r="13" spans="1:21" ht="8.25" customHeight="1">
      <c r="A13" s="47" t="s">
        <v>103</v>
      </c>
      <c r="B13" s="75"/>
      <c r="H13" s="461"/>
      <c r="I13" s="24"/>
      <c r="J13" s="24"/>
      <c r="K13" s="24"/>
      <c r="L13" s="24"/>
      <c r="M13" s="24"/>
      <c r="N13" s="24"/>
      <c r="O13" s="24"/>
      <c r="P13" s="24"/>
      <c r="Q13" s="24"/>
    </row>
    <row r="14" spans="1:21" ht="18.75">
      <c r="F14" s="414" t="s">
        <v>104</v>
      </c>
      <c r="G14" s="415">
        <f>SUM(G6:G12)</f>
        <v>24409</v>
      </c>
      <c r="I14" s="462"/>
      <c r="J14" s="41"/>
      <c r="K14" s="463"/>
      <c r="L14" s="464"/>
      <c r="M14" s="464"/>
      <c r="N14" s="464"/>
      <c r="O14" s="464"/>
      <c r="P14" s="464"/>
      <c r="Q14" s="464"/>
    </row>
    <row r="15" spans="1:21">
      <c r="A15" s="47"/>
    </row>
    <row r="16" spans="1:21">
      <c r="A16" s="47"/>
    </row>
    <row r="17" spans="1:17" ht="18.75">
      <c r="A17" s="526" t="s">
        <v>105</v>
      </c>
      <c r="B17" s="48"/>
      <c r="C17" s="48"/>
      <c r="D17" s="6"/>
      <c r="E17" s="7"/>
      <c r="F17" s="404"/>
      <c r="G17" s="467"/>
    </row>
    <row r="18" spans="1:17">
      <c r="A18" s="9"/>
      <c r="B18" s="10"/>
      <c r="C18" s="10"/>
      <c r="D18" s="11"/>
      <c r="E18" s="11"/>
      <c r="F18" s="558" t="s">
        <v>80</v>
      </c>
      <c r="G18" s="559"/>
      <c r="H18" s="1"/>
      <c r="I18" s="455"/>
      <c r="J18" s="455"/>
      <c r="K18" s="455"/>
      <c r="L18" s="61"/>
      <c r="N18" s="455"/>
      <c r="O18" s="61"/>
      <c r="P18" s="61"/>
      <c r="Q18" s="61"/>
    </row>
    <row r="19" spans="1:17">
      <c r="A19" s="15" t="s">
        <v>81</v>
      </c>
      <c r="B19" s="16" t="s">
        <v>82</v>
      </c>
      <c r="C19" s="16" t="s">
        <v>83</v>
      </c>
      <c r="D19" s="542" t="s">
        <v>84</v>
      </c>
      <c r="E19" s="542" t="s">
        <v>85</v>
      </c>
      <c r="F19" s="406" t="s">
        <v>86</v>
      </c>
      <c r="G19" s="407" t="s">
        <v>87</v>
      </c>
      <c r="H19" s="1"/>
      <c r="I19" s="456"/>
      <c r="J19" s="456"/>
      <c r="K19" s="457"/>
      <c r="L19" s="61"/>
      <c r="M19" s="3"/>
      <c r="N19" s="457"/>
      <c r="O19" s="61"/>
      <c r="P19" s="61"/>
      <c r="Q19" s="61"/>
    </row>
    <row r="20" spans="1:17">
      <c r="A20" s="49" t="s">
        <v>106</v>
      </c>
      <c r="B20" s="30" t="s">
        <v>107</v>
      </c>
      <c r="C20" s="31" t="s">
        <v>108</v>
      </c>
      <c r="D20" s="50">
        <v>3</v>
      </c>
      <c r="E20" s="160" t="s">
        <v>93</v>
      </c>
      <c r="F20" s="473">
        <f>460*2</f>
        <v>920</v>
      </c>
      <c r="G20" s="409">
        <f t="shared" ref="G20" si="1">F20*D20</f>
        <v>2760</v>
      </c>
      <c r="H20" s="458"/>
      <c r="I20" s="145"/>
      <c r="J20" s="145"/>
      <c r="K20" s="145"/>
      <c r="L20" s="145"/>
      <c r="M20" s="459"/>
      <c r="N20" s="24"/>
      <c r="O20" s="460"/>
      <c r="P20" s="145"/>
      <c r="Q20" s="145"/>
    </row>
    <row r="21" spans="1:17">
      <c r="A21" s="53" t="s">
        <v>109</v>
      </c>
      <c r="B21" s="54" t="s">
        <v>110</v>
      </c>
      <c r="C21" s="55"/>
      <c r="D21" s="56">
        <v>1</v>
      </c>
      <c r="E21" s="57"/>
      <c r="F21" s="416"/>
      <c r="G21" s="412"/>
      <c r="H21" s="465"/>
      <c r="I21" s="145"/>
      <c r="J21" s="145"/>
      <c r="K21" s="145"/>
      <c r="L21" s="145"/>
      <c r="M21" s="459"/>
      <c r="N21" s="24"/>
      <c r="O21" s="460"/>
      <c r="P21" s="145"/>
      <c r="Q21" s="145"/>
    </row>
    <row r="22" spans="1:17" ht="8.25" customHeight="1">
      <c r="H22" s="461"/>
      <c r="I22" s="24"/>
      <c r="J22" s="24"/>
      <c r="K22" s="24"/>
      <c r="L22" s="24"/>
      <c r="M22" s="24"/>
      <c r="N22" s="24"/>
      <c r="O22" s="24"/>
      <c r="P22" s="24"/>
      <c r="Q22" s="24"/>
    </row>
    <row r="23" spans="1:17" ht="18.75">
      <c r="A23" s="59"/>
      <c r="E23" s="38"/>
      <c r="F23" s="414" t="s">
        <v>104</v>
      </c>
      <c r="G23" s="415">
        <f t="shared" ref="G23" si="2">SUM(G20:G21)</f>
        <v>2760</v>
      </c>
      <c r="I23" s="466"/>
      <c r="K23" s="463"/>
      <c r="L23" s="464"/>
      <c r="M23" s="464"/>
      <c r="N23" s="464"/>
      <c r="O23" s="464"/>
      <c r="P23" s="464"/>
      <c r="Q23" s="464"/>
    </row>
    <row r="24" spans="1:17">
      <c r="A24" s="59"/>
      <c r="E24" s="38"/>
      <c r="F24" s="413"/>
      <c r="G24" s="413"/>
      <c r="O24" s="61"/>
      <c r="P24" s="61"/>
      <c r="Q24" s="466"/>
    </row>
    <row r="25" spans="1:17">
      <c r="A25" s="59"/>
      <c r="E25" s="38"/>
      <c r="F25" s="413"/>
      <c r="G25" s="413"/>
    </row>
    <row r="26" spans="1:17" ht="18.75">
      <c r="A26" s="522" t="s">
        <v>111</v>
      </c>
      <c r="B26" s="62"/>
      <c r="C26" s="62"/>
      <c r="D26" s="6"/>
      <c r="E26" s="6"/>
      <c r="F26" s="405"/>
      <c r="G26" s="468"/>
    </row>
    <row r="27" spans="1:17">
      <c r="A27" s="9"/>
      <c r="B27" s="10"/>
      <c r="C27" s="10"/>
      <c r="D27" s="11"/>
      <c r="E27" s="11"/>
      <c r="F27" s="558" t="s">
        <v>80</v>
      </c>
      <c r="G27" s="559"/>
      <c r="H27" s="1"/>
      <c r="I27" s="455"/>
      <c r="J27" s="455"/>
      <c r="K27" s="455"/>
      <c r="L27" s="61"/>
      <c r="N27" s="455"/>
      <c r="O27" s="61"/>
      <c r="P27" s="61"/>
      <c r="Q27" s="61"/>
    </row>
    <row r="28" spans="1:17">
      <c r="A28" s="15" t="s">
        <v>81</v>
      </c>
      <c r="B28" s="16" t="s">
        <v>82</v>
      </c>
      <c r="C28" s="16" t="s">
        <v>83</v>
      </c>
      <c r="D28" s="542" t="s">
        <v>84</v>
      </c>
      <c r="E28" s="542" t="s">
        <v>85</v>
      </c>
      <c r="F28" s="406" t="s">
        <v>86</v>
      </c>
      <c r="G28" s="407" t="s">
        <v>87</v>
      </c>
      <c r="H28" s="1"/>
      <c r="I28" s="456"/>
      <c r="J28" s="456"/>
      <c r="K28" s="457"/>
      <c r="L28" s="61"/>
      <c r="M28" s="3"/>
      <c r="N28" s="457"/>
      <c r="O28" s="61"/>
      <c r="P28" s="61"/>
      <c r="Q28" s="61"/>
    </row>
    <row r="29" spans="1:17">
      <c r="A29" s="63" t="s">
        <v>112</v>
      </c>
      <c r="B29" s="55" t="s">
        <v>107</v>
      </c>
      <c r="C29" s="54" t="s">
        <v>113</v>
      </c>
      <c r="D29" s="56">
        <v>5</v>
      </c>
      <c r="E29" s="54"/>
      <c r="F29" s="473">
        <v>1080</v>
      </c>
      <c r="G29" s="409">
        <f t="shared" ref="G29" si="3">F29*D29</f>
        <v>5400</v>
      </c>
      <c r="H29" s="458"/>
      <c r="I29" s="145"/>
      <c r="J29" s="145"/>
      <c r="K29" s="145"/>
      <c r="L29" s="145"/>
      <c r="M29" s="459"/>
      <c r="N29" s="24"/>
      <c r="O29" s="460"/>
      <c r="P29" s="145"/>
      <c r="Q29" s="72"/>
    </row>
    <row r="30" spans="1:17">
      <c r="A30" s="68" t="s">
        <v>109</v>
      </c>
      <c r="B30" s="55" t="s">
        <v>110</v>
      </c>
      <c r="C30" s="54"/>
      <c r="D30" s="56">
        <v>1</v>
      </c>
      <c r="E30" s="57"/>
      <c r="F30" s="416"/>
      <c r="G30" s="412"/>
      <c r="H30" s="465"/>
      <c r="I30" s="145"/>
      <c r="J30" s="145"/>
      <c r="K30" s="145"/>
      <c r="L30" s="145"/>
      <c r="M30" s="459"/>
      <c r="N30" s="24"/>
      <c r="O30" s="460"/>
      <c r="P30" s="145"/>
      <c r="Q30" s="72"/>
    </row>
    <row r="31" spans="1:17" ht="8.25" customHeight="1">
      <c r="H31" s="461"/>
      <c r="I31" s="24"/>
      <c r="J31" s="24"/>
      <c r="K31" s="24"/>
      <c r="L31" s="24"/>
      <c r="M31" s="24"/>
      <c r="N31" s="24"/>
      <c r="O31" s="24"/>
      <c r="P31" s="24"/>
      <c r="Q31" s="24"/>
    </row>
    <row r="32" spans="1:17" ht="18.75">
      <c r="A32" s="47"/>
      <c r="F32" s="414" t="s">
        <v>104</v>
      </c>
      <c r="G32" s="415">
        <f t="shared" ref="G32" si="4">SUM(G29:G30)</f>
        <v>5400</v>
      </c>
      <c r="I32" s="466"/>
      <c r="K32" s="463"/>
      <c r="L32" s="464"/>
      <c r="M32" s="464"/>
      <c r="N32" s="464"/>
      <c r="O32" s="464"/>
      <c r="P32" s="464"/>
      <c r="Q32" s="464"/>
    </row>
    <row r="33" spans="1:17">
      <c r="A33" s="47"/>
      <c r="O33" s="61"/>
      <c r="P33" s="61"/>
      <c r="Q33" s="466"/>
    </row>
    <row r="34" spans="1:17">
      <c r="A34" s="47"/>
    </row>
    <row r="35" spans="1:17" ht="18.75">
      <c r="A35" s="518" t="s">
        <v>114</v>
      </c>
      <c r="B35" s="69"/>
      <c r="C35" s="69"/>
      <c r="D35" s="6"/>
      <c r="E35" s="7"/>
      <c r="F35" s="404"/>
      <c r="G35" s="467"/>
    </row>
    <row r="36" spans="1:17">
      <c r="A36" s="9"/>
      <c r="B36" s="10"/>
      <c r="C36" s="10"/>
      <c r="D36" s="11"/>
      <c r="E36" s="11"/>
      <c r="F36" s="558" t="s">
        <v>80</v>
      </c>
      <c r="G36" s="559"/>
      <c r="H36" s="1"/>
      <c r="I36" s="455"/>
      <c r="J36" s="455"/>
      <c r="K36" s="455"/>
      <c r="L36" s="61"/>
      <c r="N36" s="455"/>
      <c r="O36" s="61"/>
      <c r="P36" s="61"/>
      <c r="Q36" s="61"/>
    </row>
    <row r="37" spans="1:17">
      <c r="A37" s="15" t="s">
        <v>81</v>
      </c>
      <c r="B37" s="16" t="s">
        <v>82</v>
      </c>
      <c r="C37" s="16" t="s">
        <v>83</v>
      </c>
      <c r="D37" s="542" t="s">
        <v>84</v>
      </c>
      <c r="E37" s="542" t="s">
        <v>85</v>
      </c>
      <c r="F37" s="406" t="s">
        <v>86</v>
      </c>
      <c r="G37" s="407" t="s">
        <v>87</v>
      </c>
      <c r="H37" s="1"/>
      <c r="I37" s="456"/>
      <c r="J37" s="456"/>
      <c r="K37" s="457"/>
      <c r="L37" s="61"/>
      <c r="M37" s="3"/>
      <c r="N37" s="457"/>
      <c r="O37" s="61"/>
      <c r="P37" s="61"/>
      <c r="Q37" s="61"/>
    </row>
    <row r="38" spans="1:17">
      <c r="A38" s="53" t="s">
        <v>115</v>
      </c>
      <c r="B38" s="55" t="s">
        <v>89</v>
      </c>
      <c r="C38" s="55" t="s">
        <v>116</v>
      </c>
      <c r="D38" s="56">
        <v>10</v>
      </c>
      <c r="E38" s="160" t="s">
        <v>117</v>
      </c>
      <c r="F38" s="473">
        <f>283*2</f>
        <v>566</v>
      </c>
      <c r="G38" s="409">
        <f t="shared" ref="G38" si="5">F38*D38</f>
        <v>5660</v>
      </c>
      <c r="H38" s="458"/>
      <c r="I38" s="145"/>
      <c r="J38" s="145"/>
      <c r="K38" s="145"/>
      <c r="L38" s="145"/>
      <c r="M38" s="459"/>
      <c r="N38" s="24"/>
      <c r="O38" s="460"/>
      <c r="P38" s="145"/>
      <c r="Q38" s="72"/>
    </row>
    <row r="39" spans="1:17">
      <c r="A39" s="68" t="s">
        <v>109</v>
      </c>
      <c r="B39" s="55" t="s">
        <v>110</v>
      </c>
      <c r="C39" s="54"/>
      <c r="D39" s="56">
        <v>1</v>
      </c>
      <c r="E39" s="57"/>
      <c r="F39" s="416"/>
      <c r="G39" s="412"/>
      <c r="H39" s="465"/>
      <c r="I39" s="145"/>
      <c r="J39" s="145"/>
      <c r="K39" s="145"/>
      <c r="L39" s="145"/>
      <c r="M39" s="459"/>
      <c r="N39" s="24"/>
      <c r="O39" s="460"/>
      <c r="P39" s="145"/>
      <c r="Q39" s="72"/>
    </row>
    <row r="40" spans="1:17" ht="8.25" customHeight="1">
      <c r="A40" s="59"/>
      <c r="E40" s="38"/>
      <c r="F40" s="413"/>
      <c r="G40" s="413"/>
      <c r="H40" s="465"/>
      <c r="I40" s="145"/>
      <c r="J40" s="145"/>
      <c r="K40" s="145"/>
      <c r="L40" s="145"/>
      <c r="M40" s="145"/>
      <c r="N40" s="145"/>
      <c r="O40" s="145"/>
      <c r="P40" s="145"/>
      <c r="Q40" s="72"/>
    </row>
    <row r="41" spans="1:17" ht="18.75">
      <c r="A41" s="47"/>
      <c r="F41" s="414" t="s">
        <v>104</v>
      </c>
      <c r="G41" s="415">
        <f t="shared" ref="G41" si="6">SUM(G38:G39)</f>
        <v>5660</v>
      </c>
      <c r="I41" s="466"/>
      <c r="K41" s="463"/>
      <c r="L41" s="464"/>
      <c r="M41" s="464"/>
      <c r="N41" s="464"/>
      <c r="O41" s="464"/>
      <c r="P41" s="464"/>
      <c r="Q41" s="464"/>
    </row>
  </sheetData>
  <mergeCells count="4">
    <mergeCell ref="F4:G4"/>
    <mergeCell ref="F18:G18"/>
    <mergeCell ref="F27:G27"/>
    <mergeCell ref="F36:G36"/>
  </mergeCells>
  <hyperlinks>
    <hyperlink ref="A20" r:id="rId1" xr:uid="{FE491CA3-324C-476E-94D3-A449AEACDEB3}"/>
    <hyperlink ref="A38" r:id="rId2" xr:uid="{72479E0A-184F-4337-A619-9D46D5AA8A74}"/>
    <hyperlink ref="A21" r:id="rId3" display="C2@180 R2" xr:uid="{FE3383CB-98B1-42D7-9EEF-FEBFCA7367F1}"/>
    <hyperlink ref="A30" r:id="rId4" display="C2@180 R2" xr:uid="{B6AA424E-2B22-4638-BC62-CCCDDCF3F1A8}"/>
    <hyperlink ref="A39" r:id="rId5" display="C2@180 R2" xr:uid="{98E3C8F8-BD30-4562-AB81-8C139754C2D4}"/>
    <hyperlink ref="A8" r:id="rId6" xr:uid="{C6326057-8934-4121-9042-D56F02D4B0AB}"/>
  </hyperlinks>
  <pageMargins left="0.7" right="0.7" top="0.75" bottom="0.75" header="0.3" footer="0.3"/>
  <pageSetup orientation="portrait"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439C4-C4D4-4455-AC22-D08B35DA273A}">
  <sheetPr codeName="Sheet4">
    <tabColor theme="7" tint="0.79998168889431442"/>
  </sheetPr>
  <dimension ref="A1:U42"/>
  <sheetViews>
    <sheetView zoomScaleNormal="100" workbookViewId="0">
      <selection activeCell="B44" sqref="B44"/>
    </sheetView>
  </sheetViews>
  <sheetFormatPr defaultRowHeight="15"/>
  <cols>
    <col min="1" max="1" width="24.85546875" customWidth="1"/>
    <col min="2" max="2" width="13.85546875" customWidth="1"/>
    <col min="3" max="3" width="32.7109375" customWidth="1"/>
    <col min="4" max="4" width="9.85546875" style="38" customWidth="1"/>
    <col min="5" max="5" width="32.7109375" customWidth="1"/>
    <col min="6" max="7" width="12.7109375" style="150" customWidth="1"/>
    <col min="8" max="8" width="16.5703125" customWidth="1"/>
    <col min="9" max="11" width="15.7109375" customWidth="1"/>
    <col min="12" max="12" width="18.7109375" customWidth="1"/>
    <col min="13" max="13" width="15.7109375" customWidth="1"/>
    <col min="14" max="14" width="17.85546875" customWidth="1"/>
    <col min="15" max="17" width="18.7109375" customWidth="1"/>
  </cols>
  <sheetData>
    <row r="1" spans="1:21" ht="38.25" customHeight="1">
      <c r="A1" s="209" t="s">
        <v>118</v>
      </c>
      <c r="B1" s="209"/>
      <c r="C1" s="209"/>
      <c r="D1" s="209"/>
      <c r="E1" s="209"/>
      <c r="F1" s="210"/>
      <c r="G1" s="210"/>
      <c r="H1" s="209"/>
      <c r="I1" s="209"/>
      <c r="J1" s="209"/>
      <c r="K1" s="209"/>
      <c r="L1" s="209"/>
      <c r="M1" s="209"/>
      <c r="N1" s="209"/>
      <c r="O1" s="209"/>
      <c r="P1" s="209"/>
      <c r="Q1" s="209"/>
      <c r="U1" s="1"/>
    </row>
    <row r="2" spans="1:21">
      <c r="A2" s="2"/>
      <c r="B2" s="3"/>
      <c r="C2" s="3"/>
      <c r="D2" s="3"/>
      <c r="E2" s="3"/>
      <c r="F2" s="403"/>
      <c r="G2" s="403"/>
      <c r="H2" s="1"/>
      <c r="I2" s="3"/>
      <c r="J2" s="3"/>
      <c r="K2" s="3"/>
      <c r="L2" s="3"/>
      <c r="M2" s="3"/>
      <c r="N2" s="3"/>
      <c r="O2" s="3"/>
      <c r="P2" s="3"/>
      <c r="Q2" s="3"/>
      <c r="U2" s="1"/>
    </row>
    <row r="3" spans="1:21" ht="18.75">
      <c r="A3" s="530" t="str">
        <f>Base_Energy!A3</f>
        <v>Model High School</v>
      </c>
      <c r="B3" s="5"/>
      <c r="C3" s="5"/>
      <c r="D3" s="6"/>
      <c r="E3" s="7"/>
      <c r="F3" s="404"/>
      <c r="G3" s="404"/>
      <c r="H3" s="7"/>
      <c r="I3" s="7"/>
      <c r="J3" s="7"/>
      <c r="K3" s="7"/>
      <c r="L3" s="7"/>
      <c r="M3" s="158"/>
      <c r="N3" s="158"/>
      <c r="O3" s="158"/>
      <c r="P3" s="7"/>
      <c r="Q3" s="8"/>
    </row>
    <row r="4" spans="1:21">
      <c r="A4" s="9"/>
      <c r="B4" s="10"/>
      <c r="C4" s="10"/>
      <c r="D4" s="11"/>
      <c r="E4" s="11"/>
      <c r="F4" s="558" t="s">
        <v>80</v>
      </c>
      <c r="G4" s="559"/>
      <c r="H4" s="386"/>
      <c r="I4" s="298" t="s">
        <v>119</v>
      </c>
      <c r="J4" s="298" t="s">
        <v>120</v>
      </c>
      <c r="K4" s="298" t="s">
        <v>121</v>
      </c>
      <c r="L4" s="381"/>
      <c r="M4" s="380"/>
      <c r="N4" s="298" t="s">
        <v>122</v>
      </c>
      <c r="O4" s="381"/>
      <c r="P4" s="390"/>
      <c r="Q4" s="14"/>
    </row>
    <row r="5" spans="1:21">
      <c r="A5" s="15" t="s">
        <v>81</v>
      </c>
      <c r="B5" s="16" t="s">
        <v>82</v>
      </c>
      <c r="C5" s="16" t="s">
        <v>83</v>
      </c>
      <c r="D5" s="542" t="s">
        <v>84</v>
      </c>
      <c r="E5" s="542" t="s">
        <v>85</v>
      </c>
      <c r="F5" s="406" t="s">
        <v>86</v>
      </c>
      <c r="G5" s="407" t="s">
        <v>87</v>
      </c>
      <c r="H5" s="15" t="s">
        <v>123</v>
      </c>
      <c r="I5" s="18">
        <v>0.15</v>
      </c>
      <c r="J5" s="18">
        <v>0.2</v>
      </c>
      <c r="K5" s="19">
        <v>7.5499999999999998E-2</v>
      </c>
      <c r="L5" s="20" t="s">
        <v>124</v>
      </c>
      <c r="M5" s="309" t="s">
        <v>125</v>
      </c>
      <c r="N5" s="19">
        <v>0</v>
      </c>
      <c r="O5" s="20" t="s">
        <v>126</v>
      </c>
      <c r="P5" s="391" t="s">
        <v>127</v>
      </c>
      <c r="Q5" s="20" t="s">
        <v>128</v>
      </c>
    </row>
    <row r="6" spans="1:21">
      <c r="A6" s="21" t="s">
        <v>112</v>
      </c>
      <c r="B6" t="s">
        <v>107</v>
      </c>
      <c r="C6" s="21" t="s">
        <v>129</v>
      </c>
      <c r="D6" s="22">
        <v>18</v>
      </c>
      <c r="E6" s="47"/>
      <c r="F6" s="469">
        <v>247</v>
      </c>
      <c r="G6" s="408">
        <f>F6*D6</f>
        <v>4446</v>
      </c>
      <c r="H6" s="387">
        <v>651.41999999999996</v>
      </c>
      <c r="I6" s="23">
        <f>H6*(1+$I$5)</f>
        <v>749.13299999999992</v>
      </c>
      <c r="J6" s="24">
        <f t="shared" ref="J6:J13" si="0">I6*(1+$J$5)</f>
        <v>898.95959999999991</v>
      </c>
      <c r="K6" s="25">
        <f>J6*(1+$K$5)</f>
        <v>966.83104979999985</v>
      </c>
      <c r="L6" s="23">
        <f>K6*D6</f>
        <v>17402.958896399996</v>
      </c>
      <c r="M6" s="383">
        <v>115</v>
      </c>
      <c r="N6" s="24">
        <f>M6+M6*($N$5)</f>
        <v>115</v>
      </c>
      <c r="O6" s="377">
        <f>N6*D6</f>
        <v>2070</v>
      </c>
      <c r="P6" s="377">
        <f>K6+N6</f>
        <v>1081.8310497999998</v>
      </c>
      <c r="Q6" s="26">
        <f t="shared" ref="Q6:Q13" si="1">L6+O6</f>
        <v>19472.958896399996</v>
      </c>
    </row>
    <row r="7" spans="1:21">
      <c r="A7" s="21" t="s">
        <v>130</v>
      </c>
      <c r="B7" t="s">
        <v>107</v>
      </c>
      <c r="C7" s="21" t="s">
        <v>129</v>
      </c>
      <c r="D7" s="22">
        <v>4</v>
      </c>
      <c r="E7" s="47"/>
      <c r="F7" s="470">
        <v>247</v>
      </c>
      <c r="G7" s="409">
        <f t="shared" ref="G7:G9" si="2">F7*D7</f>
        <v>988</v>
      </c>
      <c r="H7" s="387">
        <v>651.41999999999996</v>
      </c>
      <c r="I7" s="23">
        <f t="shared" ref="I7:I13" si="3">H7*(1+$I$5)</f>
        <v>749.13299999999992</v>
      </c>
      <c r="J7" s="24">
        <f t="shared" si="0"/>
        <v>898.95959999999991</v>
      </c>
      <c r="K7" s="25">
        <f t="shared" ref="K7:K13" si="4">J7*(1+$K$5)</f>
        <v>966.83104979999985</v>
      </c>
      <c r="L7" s="23">
        <f t="shared" ref="L7:L13" si="5">K7*D7</f>
        <v>3867.3241991999994</v>
      </c>
      <c r="M7" s="383">
        <v>172</v>
      </c>
      <c r="N7" s="24">
        <f t="shared" ref="N7:N13" si="6">M7+M7*($N$5)</f>
        <v>172</v>
      </c>
      <c r="O7" s="377">
        <f t="shared" ref="O7:O13" si="7">N7*D7</f>
        <v>688</v>
      </c>
      <c r="P7" s="377">
        <f t="shared" ref="P7:P13" si="8">K7+N7</f>
        <v>1138.8310497999998</v>
      </c>
      <c r="Q7" s="26">
        <f t="shared" si="1"/>
        <v>4555.3241991999994</v>
      </c>
    </row>
    <row r="8" spans="1:21">
      <c r="A8" s="27" t="s">
        <v>131</v>
      </c>
      <c r="B8" t="s">
        <v>107</v>
      </c>
      <c r="C8" s="21" t="s">
        <v>129</v>
      </c>
      <c r="D8" s="22">
        <v>10</v>
      </c>
      <c r="E8" s="384" t="s">
        <v>93</v>
      </c>
      <c r="F8" s="470">
        <f>247*2</f>
        <v>494</v>
      </c>
      <c r="G8" s="409">
        <f t="shared" si="2"/>
        <v>4940</v>
      </c>
      <c r="H8" s="387">
        <v>1302.8440000000001</v>
      </c>
      <c r="I8" s="23">
        <f t="shared" si="3"/>
        <v>1498.2705999999998</v>
      </c>
      <c r="J8" s="24">
        <f t="shared" si="0"/>
        <v>1797.9247199999998</v>
      </c>
      <c r="K8" s="25">
        <f t="shared" si="4"/>
        <v>1933.6680363599996</v>
      </c>
      <c r="L8" s="23">
        <f t="shared" si="5"/>
        <v>19336.680363599997</v>
      </c>
      <c r="M8" s="383">
        <f>172*2</f>
        <v>344</v>
      </c>
      <c r="N8" s="24">
        <f t="shared" si="6"/>
        <v>344</v>
      </c>
      <c r="O8" s="377">
        <f t="shared" si="7"/>
        <v>3440</v>
      </c>
      <c r="P8" s="377">
        <f t="shared" si="8"/>
        <v>2277.6680363599999</v>
      </c>
      <c r="Q8" s="26">
        <f t="shared" si="1"/>
        <v>22776.680363599997</v>
      </c>
    </row>
    <row r="9" spans="1:21">
      <c r="A9" s="21" t="s">
        <v>132</v>
      </c>
      <c r="B9" t="s">
        <v>107</v>
      </c>
      <c r="C9" s="29" t="s">
        <v>133</v>
      </c>
      <c r="D9" s="22">
        <v>16</v>
      </c>
      <c r="E9" s="47"/>
      <c r="F9" s="470">
        <v>33</v>
      </c>
      <c r="G9" s="409">
        <f t="shared" si="2"/>
        <v>528</v>
      </c>
      <c r="H9" s="387">
        <v>703.12</v>
      </c>
      <c r="I9" s="23">
        <f t="shared" si="3"/>
        <v>808.58799999999997</v>
      </c>
      <c r="J9" s="24">
        <f t="shared" si="0"/>
        <v>970.30559999999991</v>
      </c>
      <c r="K9" s="25">
        <f t="shared" si="4"/>
        <v>1043.5636727999997</v>
      </c>
      <c r="L9" s="23">
        <f t="shared" si="5"/>
        <v>16697.018764799996</v>
      </c>
      <c r="M9" s="383">
        <v>90</v>
      </c>
      <c r="N9" s="24">
        <f t="shared" si="6"/>
        <v>90</v>
      </c>
      <c r="O9" s="377">
        <f t="shared" si="7"/>
        <v>1440</v>
      </c>
      <c r="P9" s="377">
        <f>K9+N9</f>
        <v>1133.5636727999997</v>
      </c>
      <c r="Q9" s="26">
        <f t="shared" si="1"/>
        <v>18137.018764799996</v>
      </c>
    </row>
    <row r="10" spans="1:21">
      <c r="A10" s="21" t="s">
        <v>134</v>
      </c>
      <c r="B10" t="s">
        <v>135</v>
      </c>
      <c r="C10" s="29" t="s">
        <v>136</v>
      </c>
      <c r="D10" s="22">
        <v>19</v>
      </c>
      <c r="E10" s="47"/>
      <c r="F10" s="470">
        <v>68</v>
      </c>
      <c r="G10" s="409">
        <f t="shared" ref="G10:G12" si="9">F10*D10</f>
        <v>1292</v>
      </c>
      <c r="H10" s="387">
        <v>163</v>
      </c>
      <c r="I10" s="23">
        <f t="shared" si="3"/>
        <v>187.45</v>
      </c>
      <c r="J10" s="24">
        <f t="shared" si="0"/>
        <v>224.93999999999997</v>
      </c>
      <c r="K10" s="25">
        <f t="shared" si="4"/>
        <v>241.92296999999994</v>
      </c>
      <c r="L10" s="23">
        <f t="shared" si="5"/>
        <v>4596.5364299999992</v>
      </c>
      <c r="M10" s="383">
        <f>90</f>
        <v>90</v>
      </c>
      <c r="N10" s="24">
        <f t="shared" si="6"/>
        <v>90</v>
      </c>
      <c r="O10" s="377">
        <f t="shared" si="7"/>
        <v>1710</v>
      </c>
      <c r="P10" s="377">
        <f t="shared" si="8"/>
        <v>331.92296999999996</v>
      </c>
      <c r="Q10" s="26">
        <f t="shared" si="1"/>
        <v>6306.5364299999992</v>
      </c>
    </row>
    <row r="11" spans="1:21">
      <c r="A11" s="21" t="s">
        <v>137</v>
      </c>
      <c r="B11" t="s">
        <v>135</v>
      </c>
      <c r="C11" s="29" t="s">
        <v>138</v>
      </c>
      <c r="D11" s="22">
        <v>1</v>
      </c>
      <c r="E11" s="384"/>
      <c r="F11" s="470">
        <v>16</v>
      </c>
      <c r="G11" s="409">
        <f t="shared" si="9"/>
        <v>16</v>
      </c>
      <c r="H11" s="387">
        <v>135</v>
      </c>
      <c r="I11" s="23">
        <f t="shared" si="3"/>
        <v>155.25</v>
      </c>
      <c r="J11" s="24">
        <f t="shared" si="0"/>
        <v>186.29999999999998</v>
      </c>
      <c r="K11" s="25">
        <f t="shared" si="4"/>
        <v>200.36564999999996</v>
      </c>
      <c r="L11" s="23">
        <f t="shared" si="5"/>
        <v>200.36564999999996</v>
      </c>
      <c r="M11" s="383">
        <v>90</v>
      </c>
      <c r="N11" s="24">
        <f t="shared" si="6"/>
        <v>90</v>
      </c>
      <c r="O11" s="377">
        <f t="shared" si="7"/>
        <v>90</v>
      </c>
      <c r="P11" s="377">
        <f t="shared" si="8"/>
        <v>290.36564999999996</v>
      </c>
      <c r="Q11" s="26">
        <f t="shared" si="1"/>
        <v>290.36564999999996</v>
      </c>
    </row>
    <row r="12" spans="1:21">
      <c r="A12" s="30" t="s">
        <v>139</v>
      </c>
      <c r="B12" s="31" t="s">
        <v>140</v>
      </c>
      <c r="C12" s="30" t="s">
        <v>141</v>
      </c>
      <c r="D12" s="32">
        <v>6</v>
      </c>
      <c r="E12" s="385"/>
      <c r="F12" s="471">
        <v>23</v>
      </c>
      <c r="G12" s="410">
        <f t="shared" si="9"/>
        <v>138</v>
      </c>
      <c r="H12" s="388">
        <v>832</v>
      </c>
      <c r="I12" s="33">
        <f t="shared" si="3"/>
        <v>956.8</v>
      </c>
      <c r="J12" s="24">
        <f t="shared" si="0"/>
        <v>1148.1599999999999</v>
      </c>
      <c r="K12" s="34">
        <f t="shared" si="4"/>
        <v>1234.8460799999998</v>
      </c>
      <c r="L12" s="23">
        <f t="shared" si="5"/>
        <v>7409.0764799999988</v>
      </c>
      <c r="M12" s="383">
        <f>135*1.5</f>
        <v>202.5</v>
      </c>
      <c r="N12" s="24">
        <f t="shared" si="6"/>
        <v>202.5</v>
      </c>
      <c r="O12" s="377">
        <f t="shared" si="7"/>
        <v>1215</v>
      </c>
      <c r="P12" s="377">
        <f t="shared" si="8"/>
        <v>1437.3460799999998</v>
      </c>
      <c r="Q12" s="35">
        <f t="shared" si="1"/>
        <v>8624.0764799999997</v>
      </c>
    </row>
    <row r="13" spans="1:21">
      <c r="A13" s="30" t="s">
        <v>109</v>
      </c>
      <c r="B13" s="31" t="s">
        <v>110</v>
      </c>
      <c r="C13" s="30"/>
      <c r="D13" s="32">
        <v>1</v>
      </c>
      <c r="E13" s="385"/>
      <c r="F13" s="416"/>
      <c r="G13" s="412"/>
      <c r="H13" s="389">
        <v>13635</v>
      </c>
      <c r="I13" s="33">
        <f t="shared" si="3"/>
        <v>15680.249999999998</v>
      </c>
      <c r="J13" s="36">
        <f t="shared" si="0"/>
        <v>18816.299999999996</v>
      </c>
      <c r="K13" s="33">
        <f t="shared" si="4"/>
        <v>20236.930649999995</v>
      </c>
      <c r="L13" s="36">
        <f t="shared" si="5"/>
        <v>20236.930649999995</v>
      </c>
      <c r="M13" s="315">
        <f>115*4</f>
        <v>460</v>
      </c>
      <c r="N13" s="314">
        <f t="shared" si="6"/>
        <v>460</v>
      </c>
      <c r="O13" s="378">
        <f t="shared" si="7"/>
        <v>460</v>
      </c>
      <c r="P13" s="378">
        <f t="shared" si="8"/>
        <v>20696.930649999995</v>
      </c>
      <c r="Q13" s="37">
        <f t="shared" si="1"/>
        <v>20696.930649999995</v>
      </c>
    </row>
    <row r="14" spans="1:21" ht="8.25" customHeight="1">
      <c r="A14" s="21" t="s">
        <v>103</v>
      </c>
      <c r="H14" s="286"/>
      <c r="I14" s="40"/>
      <c r="J14" s="40"/>
      <c r="K14" s="40"/>
      <c r="L14" s="40"/>
      <c r="M14" s="40"/>
      <c r="N14" s="40"/>
      <c r="O14" s="40"/>
      <c r="P14" s="40"/>
      <c r="Q14" s="40"/>
    </row>
    <row r="15" spans="1:21" ht="18.75">
      <c r="F15" s="414" t="s">
        <v>104</v>
      </c>
      <c r="G15" s="415">
        <f>SUM(G6:G13)</f>
        <v>12348</v>
      </c>
      <c r="I15" s="42"/>
      <c r="J15" s="41"/>
      <c r="K15" s="43" t="s">
        <v>142</v>
      </c>
      <c r="L15" s="44">
        <f>SUM(L6:L13)</f>
        <v>89746.89143399999</v>
      </c>
      <c r="M15" s="45"/>
      <c r="N15" s="45"/>
      <c r="O15" s="218">
        <f>SUM(O6:O13)</f>
        <v>11113</v>
      </c>
      <c r="P15" s="220"/>
      <c r="Q15" s="219">
        <f>SUM(Q6:Q13)</f>
        <v>100859.89143399999</v>
      </c>
    </row>
    <row r="16" spans="1:21">
      <c r="A16" s="47"/>
    </row>
    <row r="17" spans="1:17">
      <c r="A17" s="47"/>
    </row>
    <row r="18" spans="1:17" ht="18.75">
      <c r="A18" s="526" t="str">
        <f>Base_Energy!A17</f>
        <v>College Ave (Roadway)</v>
      </c>
      <c r="B18" s="48"/>
      <c r="C18" s="48"/>
      <c r="D18" s="6"/>
      <c r="E18" s="7"/>
      <c r="F18" s="404"/>
      <c r="G18" s="404"/>
      <c r="H18" s="7"/>
      <c r="I18" s="7"/>
      <c r="J18" s="7"/>
      <c r="K18" s="7"/>
      <c r="L18" s="7"/>
      <c r="M18" s="7"/>
      <c r="N18" s="7"/>
      <c r="O18" s="7"/>
      <c r="P18" s="7"/>
      <c r="Q18" s="8"/>
    </row>
    <row r="19" spans="1:17">
      <c r="A19" s="9"/>
      <c r="B19" s="10"/>
      <c r="C19" s="10"/>
      <c r="D19" s="11"/>
      <c r="E19" s="11"/>
      <c r="F19" s="558" t="s">
        <v>80</v>
      </c>
      <c r="G19" s="559"/>
      <c r="H19" s="386"/>
      <c r="I19" s="298" t="s">
        <v>119</v>
      </c>
      <c r="J19" s="298" t="s">
        <v>120</v>
      </c>
      <c r="K19" s="298" t="s">
        <v>121</v>
      </c>
      <c r="L19" s="381"/>
      <c r="M19" s="132"/>
      <c r="N19" s="13" t="s">
        <v>122</v>
      </c>
      <c r="O19" s="12"/>
      <c r="P19" s="390"/>
      <c r="Q19" s="14"/>
    </row>
    <row r="20" spans="1:17">
      <c r="A20" s="15" t="s">
        <v>81</v>
      </c>
      <c r="B20" s="16" t="s">
        <v>82</v>
      </c>
      <c r="C20" s="16" t="s">
        <v>83</v>
      </c>
      <c r="D20" s="542" t="s">
        <v>84</v>
      </c>
      <c r="E20" s="542" t="s">
        <v>85</v>
      </c>
      <c r="F20" s="406" t="s">
        <v>86</v>
      </c>
      <c r="G20" s="407" t="s">
        <v>87</v>
      </c>
      <c r="H20" s="15" t="s">
        <v>123</v>
      </c>
      <c r="I20" s="18">
        <v>0.15</v>
      </c>
      <c r="J20" s="18">
        <v>0.2</v>
      </c>
      <c r="K20" s="19">
        <v>7.5499999999999998E-2</v>
      </c>
      <c r="L20" s="20" t="s">
        <v>143</v>
      </c>
      <c r="M20" s="542" t="s">
        <v>125</v>
      </c>
      <c r="N20" s="19">
        <v>0</v>
      </c>
      <c r="O20" s="17" t="s">
        <v>126</v>
      </c>
      <c r="P20" s="391" t="s">
        <v>127</v>
      </c>
      <c r="Q20" s="20" t="s">
        <v>144</v>
      </c>
    </row>
    <row r="21" spans="1:17">
      <c r="A21" s="49" t="s">
        <v>106</v>
      </c>
      <c r="B21" s="30" t="s">
        <v>107</v>
      </c>
      <c r="C21" s="31" t="s">
        <v>108</v>
      </c>
      <c r="D21" s="50">
        <v>3</v>
      </c>
      <c r="E21" s="160" t="s">
        <v>93</v>
      </c>
      <c r="F21" s="473">
        <f>279*2</f>
        <v>558</v>
      </c>
      <c r="G21" s="409">
        <f t="shared" ref="G21" si="10">F21*D21</f>
        <v>1674</v>
      </c>
      <c r="H21" s="283">
        <v>1312</v>
      </c>
      <c r="I21" s="65">
        <f>H21*(1+$I$20)</f>
        <v>1508.8</v>
      </c>
      <c r="J21" s="65">
        <f>I21*(1+$J$20)</f>
        <v>1810.56</v>
      </c>
      <c r="K21" s="65">
        <f>J21*(1+$K$20)</f>
        <v>1947.2572799999998</v>
      </c>
      <c r="L21" s="310">
        <f>K21*D21</f>
        <v>5841.7718399999994</v>
      </c>
      <c r="M21" s="161">
        <f>115*2</f>
        <v>230</v>
      </c>
      <c r="N21" s="24">
        <f>M21+M21*($N$20)</f>
        <v>230</v>
      </c>
      <c r="O21" s="377">
        <f>N21*D21</f>
        <v>690</v>
      </c>
      <c r="P21" s="52">
        <f t="shared" ref="P21:P22" si="11">K21+N21</f>
        <v>2177.2572799999998</v>
      </c>
      <c r="Q21" s="52">
        <f>L21+O21</f>
        <v>6531.7718399999994</v>
      </c>
    </row>
    <row r="22" spans="1:17">
      <c r="A22" s="53" t="s">
        <v>109</v>
      </c>
      <c r="B22" s="54" t="s">
        <v>110</v>
      </c>
      <c r="C22" s="55"/>
      <c r="D22" s="56">
        <v>1</v>
      </c>
      <c r="E22" s="57"/>
      <c r="F22" s="416"/>
      <c r="G22" s="412"/>
      <c r="H22" s="394">
        <f>1630.64/11*6+3564.97</f>
        <v>4454.41</v>
      </c>
      <c r="I22" s="373">
        <f>H22*(1+$I$20)</f>
        <v>5122.5714999999991</v>
      </c>
      <c r="J22" s="373">
        <f>I22*(1+$J$20)</f>
        <v>6147.0857999999989</v>
      </c>
      <c r="K22" s="373">
        <f>J22*(1+$K$20)</f>
        <v>6611.1907778999985</v>
      </c>
      <c r="L22" s="374">
        <f t="shared" ref="L22" si="12">K22*D22</f>
        <v>6611.1907778999985</v>
      </c>
      <c r="M22" s="315">
        <f>115*4</f>
        <v>460</v>
      </c>
      <c r="N22" s="314">
        <f>M22+M22*($N$20)</f>
        <v>460</v>
      </c>
      <c r="O22" s="378">
        <f>N22*D22</f>
        <v>460</v>
      </c>
      <c r="P22" s="58">
        <f t="shared" si="11"/>
        <v>7071.1907778999985</v>
      </c>
      <c r="Q22" s="52">
        <f>L22+O22</f>
        <v>7071.1907778999985</v>
      </c>
    </row>
    <row r="23" spans="1:17" ht="8.25" customHeight="1">
      <c r="H23" s="286"/>
      <c r="I23" s="40"/>
      <c r="J23" s="40"/>
      <c r="K23" s="40"/>
      <c r="L23" s="40"/>
      <c r="M23" s="40"/>
      <c r="N23" s="40"/>
      <c r="O23" s="40"/>
      <c r="P23" s="40"/>
      <c r="Q23" s="40"/>
    </row>
    <row r="24" spans="1:17" ht="18.75">
      <c r="A24" s="59"/>
      <c r="E24" s="38"/>
      <c r="F24" s="414" t="s">
        <v>104</v>
      </c>
      <c r="G24" s="415">
        <f t="shared" ref="G24" si="13">SUM(G21:G22)</f>
        <v>1674</v>
      </c>
      <c r="I24" s="60"/>
      <c r="K24" s="43" t="s">
        <v>142</v>
      </c>
      <c r="L24" s="44">
        <f t="shared" ref="L24:O24" si="14">SUM(L21:L22)</f>
        <v>12452.962617899997</v>
      </c>
      <c r="M24" s="45"/>
      <c r="N24" s="45"/>
      <c r="O24" s="44">
        <f t="shared" si="14"/>
        <v>1150</v>
      </c>
      <c r="P24" s="220"/>
      <c r="Q24" s="46">
        <f>SUM(Q21:Q22)</f>
        <v>13602.962617899997</v>
      </c>
    </row>
    <row r="25" spans="1:17">
      <c r="A25" s="59"/>
      <c r="E25" s="38"/>
      <c r="F25" s="413"/>
      <c r="G25" s="413"/>
      <c r="O25" s="61"/>
      <c r="P25" s="61"/>
      <c r="Q25" s="60"/>
    </row>
    <row r="26" spans="1:17">
      <c r="A26" s="59"/>
      <c r="E26" s="38"/>
      <c r="F26" s="413"/>
      <c r="G26" s="413"/>
    </row>
    <row r="27" spans="1:17" ht="18.75">
      <c r="A27" s="522" t="str">
        <f>Base_Energy!A26</f>
        <v>College Ave (Area)</v>
      </c>
      <c r="B27" s="62"/>
      <c r="C27" s="62"/>
      <c r="D27" s="6"/>
      <c r="E27" s="6"/>
      <c r="F27" s="405"/>
      <c r="G27" s="405"/>
      <c r="H27" s="7"/>
      <c r="I27" s="7"/>
      <c r="J27" s="7"/>
      <c r="K27" s="7"/>
      <c r="L27" s="7"/>
      <c r="M27" s="7"/>
      <c r="N27" s="7"/>
      <c r="O27" s="7"/>
      <c r="P27" s="7"/>
      <c r="Q27" s="8"/>
    </row>
    <row r="28" spans="1:17">
      <c r="A28" s="9"/>
      <c r="B28" s="10"/>
      <c r="C28" s="10"/>
      <c r="D28" s="11"/>
      <c r="E28" s="11"/>
      <c r="F28" s="558" t="s">
        <v>80</v>
      </c>
      <c r="G28" s="559"/>
      <c r="H28" s="386"/>
      <c r="I28" s="298" t="s">
        <v>119</v>
      </c>
      <c r="J28" s="298" t="s">
        <v>120</v>
      </c>
      <c r="K28" s="298" t="s">
        <v>121</v>
      </c>
      <c r="L28" s="381"/>
      <c r="M28" s="132"/>
      <c r="N28" s="13" t="s">
        <v>122</v>
      </c>
      <c r="O28" s="12"/>
      <c r="P28" s="390"/>
      <c r="Q28" s="14"/>
    </row>
    <row r="29" spans="1:17">
      <c r="A29" s="15" t="s">
        <v>81</v>
      </c>
      <c r="B29" s="16" t="s">
        <v>82</v>
      </c>
      <c r="C29" s="16" t="s">
        <v>83</v>
      </c>
      <c r="D29" s="542" t="s">
        <v>84</v>
      </c>
      <c r="E29" s="542" t="s">
        <v>85</v>
      </c>
      <c r="F29" s="406" t="s">
        <v>86</v>
      </c>
      <c r="G29" s="407" t="s">
        <v>87</v>
      </c>
      <c r="H29" s="15" t="s">
        <v>123</v>
      </c>
      <c r="I29" s="18">
        <v>0.15</v>
      </c>
      <c r="J29" s="18">
        <v>0.2</v>
      </c>
      <c r="K29" s="19">
        <v>7.5499999999999998E-2</v>
      </c>
      <c r="L29" s="20" t="s">
        <v>143</v>
      </c>
      <c r="M29" s="542" t="s">
        <v>125</v>
      </c>
      <c r="N29" s="19">
        <v>0</v>
      </c>
      <c r="O29" s="17" t="s">
        <v>126</v>
      </c>
      <c r="P29" s="391" t="s">
        <v>127</v>
      </c>
      <c r="Q29" s="20" t="s">
        <v>144</v>
      </c>
    </row>
    <row r="30" spans="1:17">
      <c r="A30" s="63" t="s">
        <v>112</v>
      </c>
      <c r="B30" s="55" t="s">
        <v>107</v>
      </c>
      <c r="C30" s="54" t="s">
        <v>113</v>
      </c>
      <c r="D30" s="56">
        <v>5</v>
      </c>
      <c r="E30" s="54"/>
      <c r="F30" s="473">
        <v>320</v>
      </c>
      <c r="G30" s="409">
        <f t="shared" ref="G30" si="15">F30*D30</f>
        <v>1600</v>
      </c>
      <c r="H30" s="283">
        <v>1141.7</v>
      </c>
      <c r="I30" s="65">
        <f>H30*(1+$I$29)</f>
        <v>1312.9549999999999</v>
      </c>
      <c r="J30" s="65">
        <f>I30*(1+$J$29)</f>
        <v>1575.5459999999998</v>
      </c>
      <c r="K30" s="65">
        <f>J30*(1+$K$29)</f>
        <v>1694.4997229999997</v>
      </c>
      <c r="L30" s="310">
        <f>K30*D30</f>
        <v>8472.4986149999986</v>
      </c>
      <c r="M30" s="161">
        <f>172+87.5</f>
        <v>259.5</v>
      </c>
      <c r="N30" s="24">
        <f>M30+M30*($N$29)</f>
        <v>259.5</v>
      </c>
      <c r="O30" s="377">
        <f>N30*D30</f>
        <v>1297.5</v>
      </c>
      <c r="P30" s="66">
        <v>1337.6732799999997</v>
      </c>
      <c r="Q30" s="67">
        <f>L30+O30</f>
        <v>9769.9986149999986</v>
      </c>
    </row>
    <row r="31" spans="1:17">
      <c r="A31" s="68" t="s">
        <v>109</v>
      </c>
      <c r="B31" s="55" t="s">
        <v>110</v>
      </c>
      <c r="C31" s="54"/>
      <c r="D31" s="56">
        <v>1</v>
      </c>
      <c r="E31" s="57"/>
      <c r="F31" s="416"/>
      <c r="G31" s="412"/>
      <c r="H31" s="394">
        <f>1027.08/9*5+3564.97</f>
        <v>4135.57</v>
      </c>
      <c r="I31" s="373">
        <f>H31*(1+$I$29)</f>
        <v>4755.9054999999989</v>
      </c>
      <c r="J31" s="373">
        <f>I31*(1+$J$29)</f>
        <v>5707.0865999999987</v>
      </c>
      <c r="K31" s="373">
        <f>J31*(1+$K$29)</f>
        <v>6137.9716382999977</v>
      </c>
      <c r="L31" s="374">
        <f t="shared" ref="L31" si="16">K31*D31</f>
        <v>6137.9716382999977</v>
      </c>
      <c r="M31" s="315">
        <f>115*4</f>
        <v>460</v>
      </c>
      <c r="N31" s="314">
        <f>M31+M31*($N$29)</f>
        <v>460</v>
      </c>
      <c r="O31" s="378">
        <f>N31*D31</f>
        <v>460</v>
      </c>
      <c r="P31" s="66">
        <v>20826.375449999996</v>
      </c>
      <c r="Q31" s="67">
        <f>L31+O31</f>
        <v>6597.9716382999977</v>
      </c>
    </row>
    <row r="32" spans="1:17" ht="8.25" customHeight="1">
      <c r="H32" s="286"/>
      <c r="I32" s="40"/>
      <c r="J32" s="40"/>
      <c r="K32" s="40"/>
      <c r="L32" s="40"/>
      <c r="M32" s="40"/>
      <c r="N32" s="40"/>
      <c r="O32" s="40"/>
      <c r="P32" s="40"/>
      <c r="Q32" s="40"/>
    </row>
    <row r="33" spans="1:17" ht="18.75">
      <c r="A33" s="47"/>
      <c r="F33" s="414" t="s">
        <v>104</v>
      </c>
      <c r="G33" s="415">
        <f t="shared" ref="G33" si="17">SUM(G30:G31)</f>
        <v>1600</v>
      </c>
      <c r="I33" s="60"/>
      <c r="K33" s="43" t="s">
        <v>142</v>
      </c>
      <c r="L33" s="44">
        <f t="shared" ref="L33:O33" si="18">SUM(L30:L31)</f>
        <v>14610.470253299996</v>
      </c>
      <c r="M33" s="45"/>
      <c r="N33" s="45"/>
      <c r="O33" s="44">
        <f t="shared" si="18"/>
        <v>1757.5</v>
      </c>
      <c r="P33" s="220"/>
      <c r="Q33" s="46">
        <f>SUM(Q30:Q31)</f>
        <v>16367.970253299996</v>
      </c>
    </row>
    <row r="34" spans="1:17">
      <c r="A34" s="47"/>
      <c r="O34" s="61"/>
      <c r="P34" s="61"/>
      <c r="Q34" s="60"/>
    </row>
    <row r="35" spans="1:17">
      <c r="A35" s="47"/>
    </row>
    <row r="36" spans="1:17" ht="18.75">
      <c r="A36" s="518" t="str">
        <f>Base_Energy!A35</f>
        <v>College Ave (Decorative)</v>
      </c>
      <c r="B36" s="69"/>
      <c r="C36" s="69"/>
      <c r="D36" s="6"/>
      <c r="E36" s="7"/>
      <c r="F36" s="404"/>
      <c r="G36" s="404"/>
      <c r="H36" s="7"/>
      <c r="I36" s="7"/>
      <c r="J36" s="7"/>
      <c r="K36" s="7"/>
      <c r="L36" s="7"/>
      <c r="M36" s="7"/>
      <c r="N36" s="7"/>
      <c r="O36" s="7"/>
      <c r="P36" s="7"/>
      <c r="Q36" s="8"/>
    </row>
    <row r="37" spans="1:17">
      <c r="A37" s="9"/>
      <c r="B37" s="10"/>
      <c r="C37" s="10"/>
      <c r="D37" s="11"/>
      <c r="E37" s="11"/>
      <c r="F37" s="558" t="s">
        <v>80</v>
      </c>
      <c r="G37" s="559"/>
      <c r="H37" s="386"/>
      <c r="I37" s="298" t="s">
        <v>119</v>
      </c>
      <c r="J37" s="298" t="s">
        <v>120</v>
      </c>
      <c r="K37" s="298" t="s">
        <v>121</v>
      </c>
      <c r="L37" s="381"/>
      <c r="M37" s="380"/>
      <c r="N37" s="298" t="s">
        <v>122</v>
      </c>
      <c r="O37" s="381"/>
      <c r="P37" s="390"/>
      <c r="Q37" s="14"/>
    </row>
    <row r="38" spans="1:17">
      <c r="A38" s="15" t="s">
        <v>81</v>
      </c>
      <c r="B38" s="16" t="s">
        <v>82</v>
      </c>
      <c r="C38" s="16" t="s">
        <v>83</v>
      </c>
      <c r="D38" s="542" t="s">
        <v>84</v>
      </c>
      <c r="E38" s="542" t="s">
        <v>85</v>
      </c>
      <c r="F38" s="406" t="s">
        <v>86</v>
      </c>
      <c r="G38" s="407" t="s">
        <v>87</v>
      </c>
      <c r="H38" s="9" t="s">
        <v>123</v>
      </c>
      <c r="I38" s="393">
        <v>0.15</v>
      </c>
      <c r="J38" s="393">
        <v>0.2</v>
      </c>
      <c r="K38" s="379">
        <v>7.5499999999999998E-2</v>
      </c>
      <c r="L38" s="14" t="s">
        <v>143</v>
      </c>
      <c r="M38" s="382" t="s">
        <v>125</v>
      </c>
      <c r="N38" s="379">
        <v>0</v>
      </c>
      <c r="O38" s="14" t="s">
        <v>126</v>
      </c>
      <c r="P38" s="391" t="s">
        <v>127</v>
      </c>
      <c r="Q38" s="20" t="s">
        <v>144</v>
      </c>
    </row>
    <row r="39" spans="1:17">
      <c r="A39" s="53" t="s">
        <v>115</v>
      </c>
      <c r="B39" s="55" t="s">
        <v>89</v>
      </c>
      <c r="C39" s="55" t="s">
        <v>116</v>
      </c>
      <c r="D39" s="56">
        <v>10</v>
      </c>
      <c r="E39" s="160" t="s">
        <v>117</v>
      </c>
      <c r="F39" s="473">
        <f>156*2</f>
        <v>312</v>
      </c>
      <c r="G39" s="409">
        <f t="shared" ref="G39" si="19">F39*D39</f>
        <v>3120</v>
      </c>
      <c r="H39" s="283">
        <v>1736</v>
      </c>
      <c r="I39" s="65">
        <f>H39*(1+$I$38)</f>
        <v>1996.3999999999999</v>
      </c>
      <c r="J39" s="65">
        <f>I39*(1+$J$38)</f>
        <v>2395.6799999999998</v>
      </c>
      <c r="K39" s="65">
        <f>J39*(1+$K$38)</f>
        <v>2576.5538399999996</v>
      </c>
      <c r="L39" s="310">
        <f>K39*D39</f>
        <v>25765.538399999998</v>
      </c>
      <c r="M39" s="369">
        <f>115*2</f>
        <v>230</v>
      </c>
      <c r="N39" s="370">
        <f>M39+M39*($N$38)</f>
        <v>230</v>
      </c>
      <c r="O39" s="392">
        <f>N39*D39</f>
        <v>2300</v>
      </c>
      <c r="P39" s="58">
        <f t="shared" ref="P39:P40" si="20">K39+N39</f>
        <v>2806.5538399999996</v>
      </c>
      <c r="Q39" s="67">
        <f>L39+O39</f>
        <v>28065.538399999998</v>
      </c>
    </row>
    <row r="40" spans="1:17">
      <c r="A40" s="68" t="s">
        <v>109</v>
      </c>
      <c r="B40" s="55" t="s">
        <v>110</v>
      </c>
      <c r="C40" s="54"/>
      <c r="D40" s="56">
        <v>1</v>
      </c>
      <c r="E40" s="57"/>
      <c r="F40" s="416"/>
      <c r="G40" s="412"/>
      <c r="H40" s="394">
        <v>4706.17</v>
      </c>
      <c r="I40" s="373">
        <f>H40*(1+$I$38)</f>
        <v>5412.0954999999994</v>
      </c>
      <c r="J40" s="373">
        <f>I40*(1+$J$38)</f>
        <v>6494.5145999999995</v>
      </c>
      <c r="K40" s="373">
        <f>J40*(1+$K$38)</f>
        <v>6984.8504522999992</v>
      </c>
      <c r="L40" s="374">
        <f t="shared" ref="L40" si="21">K40*D40</f>
        <v>6984.8504522999992</v>
      </c>
      <c r="M40" s="315">
        <f>115*4</f>
        <v>460</v>
      </c>
      <c r="N40" s="314">
        <f>M40+M40*($N$38)</f>
        <v>460</v>
      </c>
      <c r="O40" s="378">
        <f>N40*D40</f>
        <v>460</v>
      </c>
      <c r="P40" s="66">
        <f t="shared" si="20"/>
        <v>7444.8504522999992</v>
      </c>
      <c r="Q40" s="67">
        <f>L40+O40</f>
        <v>7444.8504522999992</v>
      </c>
    </row>
    <row r="41" spans="1:17" ht="8.25" customHeight="1">
      <c r="A41" s="59"/>
      <c r="E41" s="38"/>
      <c r="F41" s="413"/>
      <c r="G41" s="413"/>
      <c r="H41" s="285"/>
      <c r="I41" s="71"/>
      <c r="J41" s="71"/>
      <c r="K41" s="71"/>
      <c r="L41" s="71"/>
      <c r="M41" s="71"/>
      <c r="N41" s="71"/>
      <c r="O41" s="71"/>
      <c r="P41" s="71"/>
      <c r="Q41" s="72"/>
    </row>
    <row r="42" spans="1:17" ht="18.75">
      <c r="A42" s="47"/>
      <c r="F42" s="414" t="s">
        <v>104</v>
      </c>
      <c r="G42" s="415">
        <f t="shared" ref="G42" si="22">SUM(G39:G40)</f>
        <v>3120</v>
      </c>
      <c r="I42" s="60"/>
      <c r="K42" s="43" t="s">
        <v>142</v>
      </c>
      <c r="L42" s="44">
        <f t="shared" ref="L42:O42" si="23">SUM(L39:L40)</f>
        <v>32750.388852299999</v>
      </c>
      <c r="M42" s="45"/>
      <c r="N42" s="45"/>
      <c r="O42" s="44">
        <f t="shared" si="23"/>
        <v>2760</v>
      </c>
      <c r="P42" s="220"/>
      <c r="Q42" s="46">
        <f>SUM(Q39:Q40)</f>
        <v>35510.388852299999</v>
      </c>
    </row>
  </sheetData>
  <mergeCells count="4">
    <mergeCell ref="F4:G4"/>
    <mergeCell ref="F19:G19"/>
    <mergeCell ref="F28:G28"/>
    <mergeCell ref="F37:G37"/>
  </mergeCells>
  <hyperlinks>
    <hyperlink ref="A8" r:id="rId1" xr:uid="{5DEF67EE-0DDB-4CEF-849F-C098905C3190}"/>
    <hyperlink ref="A21" r:id="rId2" xr:uid="{54627737-02A2-46C4-91F8-CA4F3FADF08E}"/>
    <hyperlink ref="A39" r:id="rId3" xr:uid="{3D22CD40-F01C-4B41-810C-5D9070CDD862}"/>
    <hyperlink ref="A22" r:id="rId4" display="C2@180 R2" xr:uid="{4D30A877-B7F9-4692-8B7D-DBAB0D184640}"/>
    <hyperlink ref="A31" r:id="rId5" display="C2@180 R2" xr:uid="{D6E5ACF1-B404-4B60-958B-5463B85DECFD}"/>
    <hyperlink ref="A40" r:id="rId6" display="C2@180 R2" xr:uid="{2D4768EF-F6C0-4479-8D6A-95044AA0F1FA}"/>
  </hyperlinks>
  <pageMargins left="0.7" right="0.7" top="0.75" bottom="0.75" header="0.3" footer="0.3"/>
  <pageSetup orientation="portrait"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E09E8-CEC0-431A-BBFD-D727DC8B2155}">
  <sheetPr codeName="Sheet5">
    <tabColor theme="7" tint="0.79998168889431442"/>
  </sheetPr>
  <dimension ref="A1:U46"/>
  <sheetViews>
    <sheetView topLeftCell="A14" zoomScaleNormal="100" workbookViewId="0">
      <selection activeCell="A41" sqref="A41"/>
    </sheetView>
  </sheetViews>
  <sheetFormatPr defaultRowHeight="15"/>
  <cols>
    <col min="1" max="1" width="24.85546875" customWidth="1"/>
    <col min="2" max="2" width="13.85546875" customWidth="1"/>
    <col min="3" max="3" width="32.7109375" customWidth="1"/>
    <col min="4" max="4" width="9.85546875" style="38" customWidth="1"/>
    <col min="5" max="5" width="32.7109375" customWidth="1"/>
    <col min="6" max="6" width="12.7109375" style="150" customWidth="1"/>
    <col min="7" max="7" width="12.7109375" style="413" customWidth="1"/>
    <col min="8" max="8" width="16.5703125" customWidth="1"/>
    <col min="9" max="11" width="15.7109375" customWidth="1"/>
    <col min="12" max="12" width="18.7109375" customWidth="1"/>
    <col min="13" max="13" width="15.7109375" customWidth="1"/>
    <col min="14" max="14" width="17.85546875" customWidth="1"/>
    <col min="15" max="17" width="18.7109375" customWidth="1"/>
  </cols>
  <sheetData>
    <row r="1" spans="1:21" ht="38.25" customHeight="1">
      <c r="A1" s="209" t="s">
        <v>145</v>
      </c>
      <c r="B1" s="209"/>
      <c r="C1" s="209"/>
      <c r="D1" s="209"/>
      <c r="E1" s="209"/>
      <c r="F1" s="210"/>
      <c r="G1" s="402"/>
      <c r="H1" s="343"/>
      <c r="I1" s="209"/>
      <c r="J1" s="209"/>
      <c r="K1" s="209"/>
      <c r="L1" s="209"/>
      <c r="M1" s="209"/>
      <c r="N1" s="209"/>
      <c r="O1" s="209"/>
      <c r="P1" s="209"/>
      <c r="Q1" s="209"/>
      <c r="U1" s="1"/>
    </row>
    <row r="2" spans="1:21">
      <c r="A2" s="2"/>
      <c r="B2" s="3"/>
      <c r="C2" s="3"/>
      <c r="D2" s="3"/>
      <c r="E2" s="3"/>
      <c r="F2" s="403"/>
      <c r="G2" s="403"/>
      <c r="H2" s="1"/>
      <c r="I2" s="3"/>
      <c r="J2" s="3"/>
      <c r="K2" s="3"/>
      <c r="L2" s="3"/>
      <c r="M2" s="3"/>
      <c r="N2" s="3"/>
      <c r="O2" s="3"/>
      <c r="P2" s="3"/>
      <c r="Q2" s="3"/>
      <c r="U2" s="1"/>
    </row>
    <row r="3" spans="1:21" ht="18.75">
      <c r="A3" s="530" t="str">
        <f>Base_Energy!A3</f>
        <v>Model High School</v>
      </c>
      <c r="B3" s="5"/>
      <c r="C3" s="5"/>
      <c r="D3" s="6"/>
      <c r="E3" s="7"/>
      <c r="F3" s="404"/>
      <c r="G3" s="405"/>
      <c r="H3" s="7"/>
      <c r="I3" s="7"/>
      <c r="J3" s="7"/>
      <c r="K3" s="7"/>
      <c r="L3" s="7"/>
      <c r="M3" s="7"/>
      <c r="N3" s="7"/>
      <c r="O3" s="7"/>
      <c r="P3" s="7"/>
      <c r="Q3" s="8"/>
    </row>
    <row r="4" spans="1:21">
      <c r="A4" s="9"/>
      <c r="B4" s="10"/>
      <c r="C4" s="10"/>
      <c r="D4" s="11"/>
      <c r="E4" s="11"/>
      <c r="F4" s="558" t="s">
        <v>80</v>
      </c>
      <c r="G4" s="559"/>
      <c r="H4" s="386"/>
      <c r="I4" s="298" t="s">
        <v>119</v>
      </c>
      <c r="J4" s="298" t="s">
        <v>120</v>
      </c>
      <c r="K4" s="298" t="s">
        <v>121</v>
      </c>
      <c r="L4" s="381"/>
      <c r="M4" s="380"/>
      <c r="N4" s="298" t="s">
        <v>122</v>
      </c>
      <c r="O4" s="381"/>
      <c r="P4" s="390"/>
      <c r="Q4" s="14"/>
    </row>
    <row r="5" spans="1:21">
      <c r="A5" s="15" t="s">
        <v>81</v>
      </c>
      <c r="B5" s="16" t="s">
        <v>82</v>
      </c>
      <c r="C5" s="16" t="s">
        <v>83</v>
      </c>
      <c r="D5" s="542" t="s">
        <v>84</v>
      </c>
      <c r="E5" s="542" t="s">
        <v>85</v>
      </c>
      <c r="F5" s="406" t="s">
        <v>86</v>
      </c>
      <c r="G5" s="407" t="s">
        <v>87</v>
      </c>
      <c r="H5" s="15" t="s">
        <v>123</v>
      </c>
      <c r="I5" s="18">
        <v>0.15</v>
      </c>
      <c r="J5" s="18">
        <v>0.2</v>
      </c>
      <c r="K5" s="19">
        <v>7.5499999999999998E-2</v>
      </c>
      <c r="L5" s="20" t="s">
        <v>124</v>
      </c>
      <c r="M5" s="309" t="s">
        <v>125</v>
      </c>
      <c r="N5" s="19">
        <v>0</v>
      </c>
      <c r="O5" s="20" t="s">
        <v>126</v>
      </c>
      <c r="P5" s="391" t="s">
        <v>127</v>
      </c>
      <c r="Q5" s="20" t="s">
        <v>128</v>
      </c>
    </row>
    <row r="6" spans="1:21">
      <c r="A6" t="s">
        <v>146</v>
      </c>
      <c r="B6" s="73" t="s">
        <v>107</v>
      </c>
      <c r="C6" t="s">
        <v>147</v>
      </c>
      <c r="D6" s="74">
        <v>13</v>
      </c>
      <c r="E6" s="75"/>
      <c r="F6" s="472">
        <v>247</v>
      </c>
      <c r="G6" s="408">
        <f>F6*D6</f>
        <v>3211</v>
      </c>
      <c r="H6" s="399">
        <v>651.41999999999996</v>
      </c>
      <c r="I6" s="370">
        <f>H6*(1+$I$5)</f>
        <v>749.13299999999992</v>
      </c>
      <c r="J6" s="370">
        <f>I6*(1+$J$5)</f>
        <v>898.95959999999991</v>
      </c>
      <c r="K6" s="370">
        <f>J6*(1+$K$5)</f>
        <v>966.83104979999985</v>
      </c>
      <c r="L6" s="327">
        <f>K6*D6</f>
        <v>12568.803647399998</v>
      </c>
      <c r="M6" s="395">
        <v>115</v>
      </c>
      <c r="N6" s="23">
        <f>M6+M6*($N$5)</f>
        <v>115</v>
      </c>
      <c r="O6" s="77">
        <f>N6*D6</f>
        <v>1495</v>
      </c>
      <c r="P6" s="77">
        <f>K6+N6</f>
        <v>1081.8310497999998</v>
      </c>
      <c r="Q6" s="76">
        <f>L6+O6</f>
        <v>14063.803647399998</v>
      </c>
    </row>
    <row r="7" spans="1:21">
      <c r="A7" s="78" t="s">
        <v>148</v>
      </c>
      <c r="B7" s="21" t="s">
        <v>107</v>
      </c>
      <c r="C7" t="s">
        <v>149</v>
      </c>
      <c r="D7" s="79">
        <v>2</v>
      </c>
      <c r="E7" s="38" t="s">
        <v>93</v>
      </c>
      <c r="F7" s="473">
        <f>114*2</f>
        <v>228</v>
      </c>
      <c r="G7" s="409">
        <f t="shared" ref="G7:G16" si="0">F7*D7</f>
        <v>456</v>
      </c>
      <c r="H7" s="387">
        <v>1162.72</v>
      </c>
      <c r="I7" s="24">
        <f t="shared" ref="I7:I17" si="1">H7*(1+$I$5)</f>
        <v>1337.1279999999999</v>
      </c>
      <c r="J7" s="24">
        <f t="shared" ref="J7:J17" si="2">I7*(1+$J$5)</f>
        <v>1604.5536</v>
      </c>
      <c r="K7" s="24">
        <f t="shared" ref="K7:K17" si="3">J7*(1+$K$5)</f>
        <v>1725.6973967999998</v>
      </c>
      <c r="L7" s="302">
        <f t="shared" ref="L7:L17" si="4">K7*D7</f>
        <v>3451.3947935999995</v>
      </c>
      <c r="M7" s="395">
        <f>172*2</f>
        <v>344</v>
      </c>
      <c r="N7" s="23">
        <f t="shared" ref="N7:N17" si="5">M7+M7*($N$5)</f>
        <v>344</v>
      </c>
      <c r="O7" s="71">
        <f t="shared" ref="O7:O17" si="6">N7*D7</f>
        <v>688</v>
      </c>
      <c r="P7" s="71">
        <f t="shared" ref="P7:P17" si="7">K7+N7</f>
        <v>2069.6973967999998</v>
      </c>
      <c r="Q7" s="80">
        <f t="shared" ref="Q7:Q17" si="8">L7+O7</f>
        <v>4139.3947935999995</v>
      </c>
    </row>
    <row r="8" spans="1:21">
      <c r="A8" s="78" t="s">
        <v>150</v>
      </c>
      <c r="B8" s="21" t="s">
        <v>107</v>
      </c>
      <c r="C8" t="s">
        <v>151</v>
      </c>
      <c r="D8" s="79">
        <v>1</v>
      </c>
      <c r="E8" s="38" t="s">
        <v>93</v>
      </c>
      <c r="F8" s="473">
        <f>114*2</f>
        <v>228</v>
      </c>
      <c r="G8" s="409">
        <f t="shared" si="0"/>
        <v>228</v>
      </c>
      <c r="H8" s="387">
        <v>1162.72</v>
      </c>
      <c r="I8" s="71">
        <f t="shared" si="1"/>
        <v>1337.1279999999999</v>
      </c>
      <c r="J8" s="71">
        <f t="shared" si="2"/>
        <v>1604.5536</v>
      </c>
      <c r="K8" s="71">
        <f t="shared" si="3"/>
        <v>1725.6973967999998</v>
      </c>
      <c r="L8" s="221">
        <f t="shared" si="4"/>
        <v>1725.6973967999998</v>
      </c>
      <c r="M8" s="395">
        <f>172*2</f>
        <v>344</v>
      </c>
      <c r="N8" s="23">
        <f t="shared" si="5"/>
        <v>344</v>
      </c>
      <c r="O8" s="71">
        <f t="shared" si="6"/>
        <v>344</v>
      </c>
      <c r="P8" s="71">
        <f t="shared" si="7"/>
        <v>2069.6973967999998</v>
      </c>
      <c r="Q8" s="80">
        <f t="shared" si="8"/>
        <v>2069.6973967999998</v>
      </c>
    </row>
    <row r="9" spans="1:21">
      <c r="A9" t="s">
        <v>152</v>
      </c>
      <c r="B9" s="21" t="s">
        <v>107</v>
      </c>
      <c r="C9" t="s">
        <v>149</v>
      </c>
      <c r="D9" s="79">
        <v>5</v>
      </c>
      <c r="F9" s="473">
        <v>114</v>
      </c>
      <c r="G9" s="409">
        <f t="shared" si="0"/>
        <v>570</v>
      </c>
      <c r="H9" s="387">
        <v>581.36</v>
      </c>
      <c r="I9" s="71">
        <f t="shared" si="1"/>
        <v>668.56399999999996</v>
      </c>
      <c r="J9" s="71">
        <f t="shared" si="2"/>
        <v>802.27679999999998</v>
      </c>
      <c r="K9" s="71">
        <f t="shared" si="3"/>
        <v>862.84869839999988</v>
      </c>
      <c r="L9" s="221">
        <f t="shared" si="4"/>
        <v>4314.2434919999996</v>
      </c>
      <c r="M9" s="395">
        <v>115</v>
      </c>
      <c r="N9" s="23">
        <f t="shared" si="5"/>
        <v>115</v>
      </c>
      <c r="O9" s="71">
        <f t="shared" si="6"/>
        <v>575</v>
      </c>
      <c r="P9" s="71">
        <f t="shared" si="7"/>
        <v>977.84869839999988</v>
      </c>
      <c r="Q9" s="80">
        <f t="shared" si="8"/>
        <v>4889.2434919999996</v>
      </c>
    </row>
    <row r="10" spans="1:21">
      <c r="A10" t="s">
        <v>153</v>
      </c>
      <c r="B10" s="21" t="s">
        <v>107</v>
      </c>
      <c r="C10" t="s">
        <v>154</v>
      </c>
      <c r="D10" s="79">
        <v>3</v>
      </c>
      <c r="F10" s="473">
        <v>114</v>
      </c>
      <c r="G10" s="409">
        <f t="shared" si="0"/>
        <v>342</v>
      </c>
      <c r="H10" s="387">
        <v>615</v>
      </c>
      <c r="I10" s="71">
        <f t="shared" si="1"/>
        <v>707.25</v>
      </c>
      <c r="J10" s="71">
        <f t="shared" si="2"/>
        <v>848.69999999999993</v>
      </c>
      <c r="K10" s="71">
        <f t="shared" si="3"/>
        <v>912.77684999999985</v>
      </c>
      <c r="L10" s="221">
        <f t="shared" si="4"/>
        <v>2738.3305499999997</v>
      </c>
      <c r="M10" s="395">
        <v>172</v>
      </c>
      <c r="N10" s="23">
        <f t="shared" si="5"/>
        <v>172</v>
      </c>
      <c r="O10" s="71">
        <f t="shared" si="6"/>
        <v>516</v>
      </c>
      <c r="P10" s="71">
        <f t="shared" si="7"/>
        <v>1084.7768499999997</v>
      </c>
      <c r="Q10" s="80">
        <f t="shared" si="8"/>
        <v>3254.3305499999997</v>
      </c>
    </row>
    <row r="11" spans="1:21">
      <c r="A11" s="78" t="s">
        <v>155</v>
      </c>
      <c r="B11" s="21" t="s">
        <v>107</v>
      </c>
      <c r="C11" t="s">
        <v>156</v>
      </c>
      <c r="D11" s="79">
        <v>7</v>
      </c>
      <c r="E11" s="38" t="s">
        <v>93</v>
      </c>
      <c r="F11" s="473">
        <f>190*2</f>
        <v>380</v>
      </c>
      <c r="G11" s="409">
        <f t="shared" si="0"/>
        <v>2660</v>
      </c>
      <c r="H11" s="387">
        <v>1204.78</v>
      </c>
      <c r="I11" s="71">
        <f t="shared" si="1"/>
        <v>1385.4969999999998</v>
      </c>
      <c r="J11" s="71">
        <f t="shared" si="2"/>
        <v>1662.5963999999997</v>
      </c>
      <c r="K11" s="71">
        <f t="shared" si="3"/>
        <v>1788.1224281999994</v>
      </c>
      <c r="L11" s="221">
        <f t="shared" si="4"/>
        <v>12516.856997399995</v>
      </c>
      <c r="M11" s="395">
        <f>172*2</f>
        <v>344</v>
      </c>
      <c r="N11" s="23">
        <f t="shared" si="5"/>
        <v>344</v>
      </c>
      <c r="O11" s="71">
        <f t="shared" si="6"/>
        <v>2408</v>
      </c>
      <c r="P11" s="71">
        <f t="shared" si="7"/>
        <v>2132.1224281999994</v>
      </c>
      <c r="Q11" s="80">
        <f t="shared" si="8"/>
        <v>14924.856997399995</v>
      </c>
    </row>
    <row r="12" spans="1:21">
      <c r="A12" t="s">
        <v>157</v>
      </c>
      <c r="B12" s="21" t="s">
        <v>107</v>
      </c>
      <c r="C12" t="s">
        <v>156</v>
      </c>
      <c r="D12" s="79">
        <v>1</v>
      </c>
      <c r="F12" s="473">
        <v>190</v>
      </c>
      <c r="G12" s="409">
        <f t="shared" si="0"/>
        <v>190</v>
      </c>
      <c r="H12" s="387">
        <v>602.39</v>
      </c>
      <c r="I12" s="71">
        <f t="shared" si="1"/>
        <v>692.74849999999992</v>
      </c>
      <c r="J12" s="71">
        <f t="shared" si="2"/>
        <v>831.29819999999984</v>
      </c>
      <c r="K12" s="71">
        <f t="shared" si="3"/>
        <v>894.06121409999969</v>
      </c>
      <c r="L12" s="221">
        <f t="shared" si="4"/>
        <v>894.06121409999969</v>
      </c>
      <c r="M12" s="395">
        <v>172</v>
      </c>
      <c r="N12" s="23">
        <f t="shared" si="5"/>
        <v>172</v>
      </c>
      <c r="O12" s="71">
        <f t="shared" si="6"/>
        <v>172</v>
      </c>
      <c r="P12" s="71">
        <f t="shared" si="7"/>
        <v>1066.0612140999997</v>
      </c>
      <c r="Q12" s="80">
        <f t="shared" si="8"/>
        <v>1066.0612140999997</v>
      </c>
    </row>
    <row r="13" spans="1:21">
      <c r="A13" t="s">
        <v>158</v>
      </c>
      <c r="B13" s="21" t="s">
        <v>107</v>
      </c>
      <c r="C13" t="s">
        <v>159</v>
      </c>
      <c r="D13" s="79">
        <v>16</v>
      </c>
      <c r="F13" s="473">
        <v>33</v>
      </c>
      <c r="G13" s="409">
        <f t="shared" si="0"/>
        <v>528</v>
      </c>
      <c r="H13" s="387">
        <v>703.12</v>
      </c>
      <c r="I13" s="71">
        <f t="shared" si="1"/>
        <v>808.58799999999997</v>
      </c>
      <c r="J13" s="71">
        <f t="shared" si="2"/>
        <v>970.30559999999991</v>
      </c>
      <c r="K13" s="71">
        <f t="shared" si="3"/>
        <v>1043.5636727999997</v>
      </c>
      <c r="L13" s="221">
        <f t="shared" si="4"/>
        <v>16697.018764799996</v>
      </c>
      <c r="M13" s="395">
        <v>90</v>
      </c>
      <c r="N13" s="23">
        <f t="shared" si="5"/>
        <v>90</v>
      </c>
      <c r="O13" s="71">
        <f t="shared" si="6"/>
        <v>1440</v>
      </c>
      <c r="P13" s="71">
        <f t="shared" si="7"/>
        <v>1133.5636727999997</v>
      </c>
      <c r="Q13" s="80">
        <f t="shared" si="8"/>
        <v>18137.018764799996</v>
      </c>
    </row>
    <row r="14" spans="1:21">
      <c r="A14" s="47" t="s">
        <v>160</v>
      </c>
      <c r="B14" s="21" t="s">
        <v>135</v>
      </c>
      <c r="C14" s="81" t="s">
        <v>161</v>
      </c>
      <c r="D14" s="79">
        <v>19</v>
      </c>
      <c r="F14" s="473">
        <v>77</v>
      </c>
      <c r="G14" s="409">
        <f t="shared" si="0"/>
        <v>1463</v>
      </c>
      <c r="H14" s="387">
        <v>344.7</v>
      </c>
      <c r="I14" s="71">
        <f t="shared" si="1"/>
        <v>396.40499999999997</v>
      </c>
      <c r="J14" s="71">
        <f t="shared" si="2"/>
        <v>475.68599999999992</v>
      </c>
      <c r="K14" s="71">
        <f t="shared" si="3"/>
        <v>511.60029299999985</v>
      </c>
      <c r="L14" s="221">
        <f t="shared" si="4"/>
        <v>9720.405566999998</v>
      </c>
      <c r="M14" s="396">
        <v>90</v>
      </c>
      <c r="N14" s="23">
        <f t="shared" si="5"/>
        <v>90</v>
      </c>
      <c r="O14" s="71">
        <f t="shared" si="6"/>
        <v>1710</v>
      </c>
      <c r="P14" s="71">
        <f t="shared" si="7"/>
        <v>601.60029299999985</v>
      </c>
      <c r="Q14" s="80">
        <f t="shared" si="8"/>
        <v>11430.405566999998</v>
      </c>
    </row>
    <row r="15" spans="1:21">
      <c r="A15" s="59" t="s">
        <v>162</v>
      </c>
      <c r="B15" s="21" t="s">
        <v>135</v>
      </c>
      <c r="C15" s="81" t="s">
        <v>163</v>
      </c>
      <c r="D15" s="79">
        <v>1</v>
      </c>
      <c r="E15" s="38"/>
      <c r="F15" s="473">
        <v>20</v>
      </c>
      <c r="G15" s="409">
        <f t="shared" si="0"/>
        <v>20</v>
      </c>
      <c r="H15" s="387">
        <v>344.7</v>
      </c>
      <c r="I15" s="71">
        <f t="shared" si="1"/>
        <v>396.40499999999997</v>
      </c>
      <c r="J15" s="71">
        <f t="shared" si="2"/>
        <v>475.68599999999992</v>
      </c>
      <c r="K15" s="71">
        <f t="shared" si="3"/>
        <v>511.60029299999985</v>
      </c>
      <c r="L15" s="221">
        <f t="shared" si="4"/>
        <v>511.60029299999985</v>
      </c>
      <c r="M15" s="396">
        <v>90</v>
      </c>
      <c r="N15" s="23">
        <f t="shared" si="5"/>
        <v>90</v>
      </c>
      <c r="O15" s="71">
        <f t="shared" si="6"/>
        <v>90</v>
      </c>
      <c r="P15" s="71">
        <f t="shared" si="7"/>
        <v>601.60029299999985</v>
      </c>
      <c r="Q15" s="80">
        <f t="shared" si="8"/>
        <v>601.60029299999985</v>
      </c>
    </row>
    <row r="16" spans="1:21">
      <c r="A16" s="47" t="s">
        <v>164</v>
      </c>
      <c r="B16" s="30" t="s">
        <v>165</v>
      </c>
      <c r="C16" s="31" t="s">
        <v>166</v>
      </c>
      <c r="D16" s="50">
        <v>6</v>
      </c>
      <c r="F16" s="474">
        <v>23</v>
      </c>
      <c r="G16" s="410">
        <f t="shared" si="0"/>
        <v>138</v>
      </c>
      <c r="H16" s="388">
        <v>742</v>
      </c>
      <c r="I16" s="398">
        <f t="shared" si="1"/>
        <v>853.3</v>
      </c>
      <c r="J16" s="398">
        <f t="shared" si="2"/>
        <v>1023.9599999999999</v>
      </c>
      <c r="K16" s="398">
        <f t="shared" si="3"/>
        <v>1101.2689799999998</v>
      </c>
      <c r="L16" s="400">
        <f t="shared" si="4"/>
        <v>6607.613879999999</v>
      </c>
      <c r="M16" s="395">
        <f>135*1.5</f>
        <v>202.5</v>
      </c>
      <c r="N16" s="23">
        <f t="shared" si="5"/>
        <v>202.5</v>
      </c>
      <c r="O16" s="71">
        <f t="shared" si="6"/>
        <v>1215</v>
      </c>
      <c r="P16" s="71">
        <f t="shared" si="7"/>
        <v>1303.7689799999998</v>
      </c>
      <c r="Q16" s="80">
        <f t="shared" si="8"/>
        <v>7822.613879999999</v>
      </c>
    </row>
    <row r="17" spans="1:17">
      <c r="A17" s="55" t="s">
        <v>109</v>
      </c>
      <c r="B17" s="54" t="s">
        <v>110</v>
      </c>
      <c r="C17" s="55"/>
      <c r="D17" s="83">
        <v>1</v>
      </c>
      <c r="E17" s="55"/>
      <c r="F17" s="411"/>
      <c r="G17" s="412"/>
      <c r="H17" s="397">
        <v>13635</v>
      </c>
      <c r="I17" s="86">
        <f t="shared" si="1"/>
        <v>15680.249999999998</v>
      </c>
      <c r="J17" s="398">
        <f t="shared" si="2"/>
        <v>18816.299999999996</v>
      </c>
      <c r="K17" s="82">
        <f t="shared" si="3"/>
        <v>20236.930649999995</v>
      </c>
      <c r="L17" s="86">
        <f t="shared" si="4"/>
        <v>20236.930649999995</v>
      </c>
      <c r="M17" s="315">
        <f>115*4</f>
        <v>460</v>
      </c>
      <c r="N17" s="36">
        <f t="shared" si="5"/>
        <v>460</v>
      </c>
      <c r="O17" s="66">
        <f t="shared" si="6"/>
        <v>460</v>
      </c>
      <c r="P17" s="66">
        <f t="shared" si="7"/>
        <v>20696.930649999995</v>
      </c>
      <c r="Q17" s="52">
        <f t="shared" si="8"/>
        <v>20696.930649999995</v>
      </c>
    </row>
    <row r="18" spans="1:17" ht="8.25" customHeight="1">
      <c r="H18" s="285"/>
      <c r="I18" s="71"/>
      <c r="J18" s="71"/>
      <c r="K18" s="71"/>
      <c r="L18" s="71"/>
      <c r="M18" s="71"/>
      <c r="N18" s="145"/>
      <c r="O18" s="71"/>
      <c r="P18" s="71"/>
      <c r="Q18" s="71"/>
    </row>
    <row r="19" spans="1:17" ht="18.75">
      <c r="F19" s="414" t="s">
        <v>104</v>
      </c>
      <c r="G19" s="415">
        <f>SUM(G6:G17)</f>
        <v>9806</v>
      </c>
      <c r="I19" s="72"/>
      <c r="K19" s="43" t="s">
        <v>104</v>
      </c>
      <c r="L19" s="44">
        <f>SUM(L6:L17)</f>
        <v>91982.957246099977</v>
      </c>
      <c r="M19" s="45"/>
      <c r="N19" s="45"/>
      <c r="O19" s="218">
        <f>SUM(O6:O17)</f>
        <v>11113</v>
      </c>
      <c r="P19" s="220"/>
      <c r="Q19" s="219">
        <f>SUM(Q6:Q17)</f>
        <v>103095.95724609998</v>
      </c>
    </row>
    <row r="20" spans="1:17">
      <c r="A20" s="47"/>
    </row>
    <row r="21" spans="1:17">
      <c r="A21" s="47"/>
    </row>
    <row r="22" spans="1:17" ht="18.75">
      <c r="A22" s="526" t="str">
        <f>Base_Energy!A17</f>
        <v>College Ave (Roadway)</v>
      </c>
      <c r="B22" s="48"/>
      <c r="C22" s="48"/>
      <c r="D22" s="6"/>
      <c r="E22" s="7"/>
      <c r="F22" s="404"/>
      <c r="G22" s="405"/>
      <c r="H22" s="7"/>
      <c r="I22" s="7"/>
      <c r="J22" s="7"/>
      <c r="K22" s="7"/>
      <c r="L22" s="7"/>
      <c r="M22" s="7"/>
      <c r="N22" s="7"/>
      <c r="O22" s="7"/>
      <c r="P22" s="7"/>
      <c r="Q22" s="8"/>
    </row>
    <row r="23" spans="1:17">
      <c r="A23" s="9"/>
      <c r="B23" s="10"/>
      <c r="C23" s="10"/>
      <c r="D23" s="11"/>
      <c r="E23" s="11"/>
      <c r="F23" s="558" t="s">
        <v>80</v>
      </c>
      <c r="G23" s="559"/>
      <c r="H23" s="386"/>
      <c r="I23" s="298" t="s">
        <v>119</v>
      </c>
      <c r="J23" s="298" t="s">
        <v>120</v>
      </c>
      <c r="K23" s="298" t="s">
        <v>121</v>
      </c>
      <c r="L23" s="381"/>
      <c r="M23" s="380"/>
      <c r="N23" s="298" t="s">
        <v>122</v>
      </c>
      <c r="O23" s="381"/>
      <c r="P23" s="390"/>
      <c r="Q23" s="14"/>
    </row>
    <row r="24" spans="1:17">
      <c r="A24" s="15" t="s">
        <v>81</v>
      </c>
      <c r="B24" s="16" t="s">
        <v>82</v>
      </c>
      <c r="C24" s="16" t="s">
        <v>83</v>
      </c>
      <c r="D24" s="542" t="s">
        <v>84</v>
      </c>
      <c r="E24" s="542" t="s">
        <v>85</v>
      </c>
      <c r="F24" s="406" t="s">
        <v>86</v>
      </c>
      <c r="G24" s="407" t="s">
        <v>87</v>
      </c>
      <c r="H24" s="9" t="s">
        <v>123</v>
      </c>
      <c r="I24" s="393">
        <v>0.15</v>
      </c>
      <c r="J24" s="393">
        <v>0.2</v>
      </c>
      <c r="K24" s="379">
        <v>7.5499999999999998E-2</v>
      </c>
      <c r="L24" s="14" t="s">
        <v>124</v>
      </c>
      <c r="M24" s="382" t="s">
        <v>125</v>
      </c>
      <c r="N24" s="379">
        <v>0</v>
      </c>
      <c r="O24" s="14" t="s">
        <v>126</v>
      </c>
      <c r="P24" s="391" t="s">
        <v>127</v>
      </c>
      <c r="Q24" s="20" t="s">
        <v>128</v>
      </c>
    </row>
    <row r="25" spans="1:17">
      <c r="A25" s="53" t="s">
        <v>167</v>
      </c>
      <c r="B25" s="55" t="s">
        <v>135</v>
      </c>
      <c r="C25" s="54" t="s">
        <v>168</v>
      </c>
      <c r="D25" s="56">
        <v>3</v>
      </c>
      <c r="E25" s="160" t="s">
        <v>93</v>
      </c>
      <c r="F25" s="474">
        <f>248*2</f>
        <v>496</v>
      </c>
      <c r="G25" s="410">
        <f t="shared" ref="G25" si="9">F25*D25</f>
        <v>1488</v>
      </c>
      <c r="H25" s="283">
        <v>1950</v>
      </c>
      <c r="I25" s="66">
        <f>H25*(1+$I$24)</f>
        <v>2242.5</v>
      </c>
      <c r="J25" s="66">
        <f>I25*(1+$J$24)</f>
        <v>2691</v>
      </c>
      <c r="K25" s="66">
        <f>J25*(1+$K$24)</f>
        <v>2894.1704999999997</v>
      </c>
      <c r="L25" s="66">
        <f>K25*D25</f>
        <v>8682.5114999999987</v>
      </c>
      <c r="M25" s="315">
        <f>115*2</f>
        <v>230</v>
      </c>
      <c r="N25" s="314">
        <f>M25+M25*($N$24)</f>
        <v>230</v>
      </c>
      <c r="O25" s="58">
        <f>N25*D25</f>
        <v>690</v>
      </c>
      <c r="P25" s="221">
        <f>K25+N25</f>
        <v>3124.1704999999997</v>
      </c>
      <c r="Q25" s="80">
        <f>L25+O25</f>
        <v>9372.5114999999987</v>
      </c>
    </row>
    <row r="26" spans="1:17">
      <c r="A26" s="53" t="s">
        <v>109</v>
      </c>
      <c r="B26" s="54" t="s">
        <v>110</v>
      </c>
      <c r="C26" s="55"/>
      <c r="D26" s="56">
        <v>1</v>
      </c>
      <c r="E26" s="57"/>
      <c r="F26" s="411"/>
      <c r="G26" s="412"/>
      <c r="H26" s="284">
        <f>1630.64/11*6+3564.97</f>
        <v>4454.41</v>
      </c>
      <c r="I26" s="66">
        <f>H26*(1+$I$24)</f>
        <v>5122.5714999999991</v>
      </c>
      <c r="J26" s="66">
        <f>I26*(1+$J$24)</f>
        <v>6147.0857999999989</v>
      </c>
      <c r="K26" s="66">
        <f>J26*(1+$K$24)</f>
        <v>6611.1907778999985</v>
      </c>
      <c r="L26" s="66">
        <f>K26*D26</f>
        <v>6611.1907778999985</v>
      </c>
      <c r="M26" s="315">
        <f>115*4</f>
        <v>460</v>
      </c>
      <c r="N26" s="314">
        <f>M26+M26*($N$24)</f>
        <v>460</v>
      </c>
      <c r="O26" s="58">
        <f t="shared" ref="O26" si="10">N26*D26</f>
        <v>460</v>
      </c>
      <c r="P26" s="58">
        <f>K26+N26</f>
        <v>7071.1907778999985</v>
      </c>
      <c r="Q26" s="52">
        <f>L26+O26</f>
        <v>7071.1907778999985</v>
      </c>
    </row>
    <row r="27" spans="1:17" ht="8.25" customHeight="1">
      <c r="A27" s="59"/>
      <c r="E27" s="38"/>
      <c r="F27" s="413"/>
      <c r="H27" s="285"/>
      <c r="I27" s="71"/>
      <c r="J27" s="71"/>
      <c r="K27" s="71"/>
      <c r="L27" s="71"/>
      <c r="M27" s="71"/>
      <c r="N27" s="71"/>
      <c r="O27" s="71"/>
      <c r="P27" s="71"/>
      <c r="Q27" s="71"/>
    </row>
    <row r="28" spans="1:17" ht="18.75">
      <c r="A28" s="59"/>
      <c r="E28" s="38"/>
      <c r="F28" s="414" t="s">
        <v>104</v>
      </c>
      <c r="G28" s="415">
        <f t="shared" ref="G28" si="11">SUM(G25:G26)</f>
        <v>1488</v>
      </c>
      <c r="I28" s="84"/>
      <c r="K28" s="43" t="s">
        <v>104</v>
      </c>
      <c r="L28" s="44">
        <f t="shared" ref="L28:O28" si="12">SUM(L25:L26)</f>
        <v>15293.702277899996</v>
      </c>
      <c r="M28" s="45"/>
      <c r="N28" s="45"/>
      <c r="O28" s="44">
        <f t="shared" si="12"/>
        <v>1150</v>
      </c>
      <c r="P28" s="220"/>
      <c r="Q28" s="46">
        <f>SUM(Q25:Q26)</f>
        <v>16443.702277899996</v>
      </c>
    </row>
    <row r="29" spans="1:17">
      <c r="A29" s="59"/>
      <c r="E29" s="38"/>
      <c r="F29" s="413"/>
      <c r="O29" s="61"/>
      <c r="P29" s="61"/>
      <c r="Q29" s="60"/>
    </row>
    <row r="30" spans="1:17">
      <c r="A30" s="59"/>
      <c r="E30" s="38"/>
      <c r="F30" s="413"/>
      <c r="O30" s="61"/>
      <c r="P30" s="61"/>
      <c r="Q30" s="60"/>
    </row>
    <row r="31" spans="1:17" ht="18.75">
      <c r="A31" s="522" t="str">
        <f>Base_Energy!A26</f>
        <v>College Ave (Area)</v>
      </c>
      <c r="B31" s="62"/>
      <c r="C31" s="62"/>
      <c r="D31" s="6"/>
      <c r="E31" s="6"/>
      <c r="F31" s="405"/>
      <c r="G31" s="405"/>
      <c r="H31" s="7"/>
      <c r="I31" s="7"/>
      <c r="J31" s="7"/>
      <c r="K31" s="7"/>
      <c r="L31" s="7"/>
      <c r="M31" s="7"/>
      <c r="N31" s="7"/>
      <c r="O31" s="7"/>
      <c r="P31" s="7"/>
      <c r="Q31" s="8"/>
    </row>
    <row r="32" spans="1:17">
      <c r="A32" s="9"/>
      <c r="B32" s="10"/>
      <c r="C32" s="10"/>
      <c r="D32" s="11"/>
      <c r="E32" s="11"/>
      <c r="F32" s="558" t="s">
        <v>80</v>
      </c>
      <c r="G32" s="559"/>
      <c r="H32" s="386"/>
      <c r="I32" s="298" t="s">
        <v>119</v>
      </c>
      <c r="J32" s="298" t="s">
        <v>120</v>
      </c>
      <c r="K32" s="298" t="s">
        <v>121</v>
      </c>
      <c r="L32" s="381"/>
      <c r="M32" s="380"/>
      <c r="N32" s="298" t="s">
        <v>122</v>
      </c>
      <c r="O32" s="381"/>
      <c r="P32" s="390"/>
      <c r="Q32" s="14"/>
    </row>
    <row r="33" spans="1:17">
      <c r="A33" s="15" t="s">
        <v>81</v>
      </c>
      <c r="B33" s="16" t="s">
        <v>82</v>
      </c>
      <c r="C33" s="16" t="s">
        <v>83</v>
      </c>
      <c r="D33" s="542" t="s">
        <v>84</v>
      </c>
      <c r="E33" s="542" t="s">
        <v>85</v>
      </c>
      <c r="F33" s="406" t="s">
        <v>86</v>
      </c>
      <c r="G33" s="407" t="s">
        <v>87</v>
      </c>
      <c r="H33" s="15" t="s">
        <v>123</v>
      </c>
      <c r="I33" s="18">
        <v>0.15</v>
      </c>
      <c r="J33" s="18">
        <v>0.2</v>
      </c>
      <c r="K33" s="19">
        <v>7.5499999999999998E-2</v>
      </c>
      <c r="L33" s="20" t="s">
        <v>124</v>
      </c>
      <c r="M33" s="309" t="s">
        <v>125</v>
      </c>
      <c r="N33" s="19">
        <v>0</v>
      </c>
      <c r="O33" s="20" t="s">
        <v>126</v>
      </c>
      <c r="P33" s="391" t="s">
        <v>127</v>
      </c>
      <c r="Q33" s="20" t="s">
        <v>128</v>
      </c>
    </row>
    <row r="34" spans="1:17">
      <c r="A34" s="85" t="s">
        <v>146</v>
      </c>
      <c r="B34" s="73" t="s">
        <v>107</v>
      </c>
      <c r="C34" s="75" t="s">
        <v>169</v>
      </c>
      <c r="D34" s="74">
        <v>5</v>
      </c>
      <c r="E34" s="75"/>
      <c r="F34" s="474">
        <f>369</f>
        <v>369</v>
      </c>
      <c r="G34" s="410">
        <f t="shared" ref="G34" si="13">F34*D34</f>
        <v>1845</v>
      </c>
      <c r="H34" s="283">
        <v>1141.7</v>
      </c>
      <c r="I34" s="66">
        <f>H34*(1+$I$33)</f>
        <v>1312.9549999999999</v>
      </c>
      <c r="J34" s="66">
        <f>I34*(1+$J$33)</f>
        <v>1575.5459999999998</v>
      </c>
      <c r="K34" s="66">
        <f>J34*(1+$K$33)</f>
        <v>1694.4997229999997</v>
      </c>
      <c r="L34" s="58">
        <f>K34*D34</f>
        <v>8472.4986149999986</v>
      </c>
      <c r="M34" s="315">
        <f>172+87.5</f>
        <v>259.5</v>
      </c>
      <c r="N34" s="314">
        <f>M34+M34*($N$33)</f>
        <v>259.5</v>
      </c>
      <c r="O34" s="58">
        <f t="shared" ref="O34:O35" si="14">N34*D34</f>
        <v>1297.5</v>
      </c>
      <c r="P34" s="77">
        <f>K34+N34</f>
        <v>1953.9997229999997</v>
      </c>
      <c r="Q34" s="76">
        <f>L34+O34</f>
        <v>9769.9986149999986</v>
      </c>
    </row>
    <row r="35" spans="1:17">
      <c r="A35" s="68" t="s">
        <v>109</v>
      </c>
      <c r="B35" s="55" t="s">
        <v>110</v>
      </c>
      <c r="C35" s="54"/>
      <c r="D35" s="56">
        <v>1</v>
      </c>
      <c r="E35" s="57"/>
      <c r="F35" s="411"/>
      <c r="G35" s="412"/>
      <c r="H35" s="284">
        <f>1027.08/9*5+3564.97</f>
        <v>4135.57</v>
      </c>
      <c r="I35" s="66">
        <f>H35*(1+$I$33)</f>
        <v>4755.9054999999989</v>
      </c>
      <c r="J35" s="66">
        <f>I35*(1+$J$33)</f>
        <v>5707.0865999999987</v>
      </c>
      <c r="K35" s="66">
        <f>J35*(1+$K$33)</f>
        <v>6137.9716382999977</v>
      </c>
      <c r="L35" s="58">
        <f>K35*D35</f>
        <v>6137.9716382999977</v>
      </c>
      <c r="M35" s="315">
        <f>115*4</f>
        <v>460</v>
      </c>
      <c r="N35" s="314">
        <f>M35+M35*($N$33)</f>
        <v>460</v>
      </c>
      <c r="O35" s="58">
        <f t="shared" si="14"/>
        <v>460</v>
      </c>
      <c r="P35" s="66">
        <f>K35+N35</f>
        <v>6597.9716382999977</v>
      </c>
      <c r="Q35" s="52">
        <f>L35+O35</f>
        <v>6597.9716382999977</v>
      </c>
    </row>
    <row r="36" spans="1:17" ht="8.25" customHeight="1">
      <c r="A36" s="59"/>
      <c r="E36" s="38"/>
      <c r="F36" s="413"/>
      <c r="H36" s="285"/>
      <c r="I36" s="71"/>
      <c r="J36" s="71"/>
      <c r="K36" s="71"/>
      <c r="L36" s="71"/>
      <c r="M36" s="71"/>
      <c r="N36" s="71"/>
      <c r="O36" s="71"/>
      <c r="P36" s="71"/>
      <c r="Q36" s="71"/>
    </row>
    <row r="37" spans="1:17" ht="18.75">
      <c r="A37" s="47"/>
      <c r="F37" s="414" t="s">
        <v>104</v>
      </c>
      <c r="G37" s="415">
        <f t="shared" ref="G37" si="15">SUM(G34:G35)</f>
        <v>1845</v>
      </c>
      <c r="I37" s="84"/>
      <c r="K37" s="43" t="s">
        <v>104</v>
      </c>
      <c r="L37" s="44">
        <f t="shared" ref="L37:O37" si="16">SUM(L34:L35)</f>
        <v>14610.470253299996</v>
      </c>
      <c r="M37" s="45"/>
      <c r="N37" s="45"/>
      <c r="O37" s="44">
        <f t="shared" si="16"/>
        <v>1757.5</v>
      </c>
      <c r="P37" s="220"/>
      <c r="Q37" s="46">
        <f>SUM(Q34:Q35)</f>
        <v>16367.970253299996</v>
      </c>
    </row>
    <row r="38" spans="1:17">
      <c r="A38" s="47"/>
      <c r="O38" s="61"/>
      <c r="P38" s="61"/>
      <c r="Q38" s="60"/>
    </row>
    <row r="39" spans="1:17">
      <c r="A39" s="47"/>
    </row>
    <row r="40" spans="1:17" ht="18.75">
      <c r="A40" s="518" t="str">
        <f>Base_Energy!A35</f>
        <v>College Ave (Decorative)</v>
      </c>
      <c r="B40" s="69"/>
      <c r="C40" s="69"/>
      <c r="D40" s="6"/>
      <c r="E40" s="7"/>
      <c r="F40" s="404"/>
      <c r="G40" s="405"/>
      <c r="H40" s="7"/>
      <c r="I40" s="7"/>
      <c r="J40" s="7"/>
      <c r="K40" s="7"/>
      <c r="L40" s="7"/>
      <c r="M40" s="7"/>
      <c r="N40" s="7"/>
      <c r="O40" s="7"/>
      <c r="P40" s="7"/>
      <c r="Q40" s="8"/>
    </row>
    <row r="41" spans="1:17">
      <c r="A41" s="9"/>
      <c r="B41" s="10"/>
      <c r="C41" s="10"/>
      <c r="D41" s="11"/>
      <c r="E41" s="11"/>
      <c r="F41" s="558" t="s">
        <v>80</v>
      </c>
      <c r="G41" s="559"/>
      <c r="H41" s="386"/>
      <c r="I41" s="298" t="s">
        <v>119</v>
      </c>
      <c r="J41" s="298" t="s">
        <v>120</v>
      </c>
      <c r="K41" s="298" t="s">
        <v>121</v>
      </c>
      <c r="L41" s="381"/>
      <c r="M41" s="380"/>
      <c r="N41" s="298" t="s">
        <v>122</v>
      </c>
      <c r="O41" s="381"/>
      <c r="P41" s="390"/>
      <c r="Q41" s="14"/>
    </row>
    <row r="42" spans="1:17">
      <c r="A42" s="15" t="s">
        <v>81</v>
      </c>
      <c r="B42" s="16" t="s">
        <v>82</v>
      </c>
      <c r="C42" s="16" t="s">
        <v>83</v>
      </c>
      <c r="D42" s="542" t="s">
        <v>84</v>
      </c>
      <c r="E42" s="542" t="s">
        <v>85</v>
      </c>
      <c r="F42" s="406" t="s">
        <v>86</v>
      </c>
      <c r="G42" s="407" t="s">
        <v>87</v>
      </c>
      <c r="H42" s="15" t="s">
        <v>123</v>
      </c>
      <c r="I42" s="18">
        <v>0.15</v>
      </c>
      <c r="J42" s="18">
        <v>0.2</v>
      </c>
      <c r="K42" s="19">
        <v>7.5499999999999998E-2</v>
      </c>
      <c r="L42" s="20" t="s">
        <v>124</v>
      </c>
      <c r="M42" s="309" t="s">
        <v>125</v>
      </c>
      <c r="N42" s="19">
        <v>0</v>
      </c>
      <c r="O42" s="20" t="s">
        <v>126</v>
      </c>
      <c r="P42" s="391" t="s">
        <v>127</v>
      </c>
      <c r="Q42" s="20" t="s">
        <v>128</v>
      </c>
    </row>
    <row r="43" spans="1:17">
      <c r="A43" s="87" t="s">
        <v>170</v>
      </c>
      <c r="B43" s="88" t="s">
        <v>165</v>
      </c>
      <c r="C43" s="81" t="s">
        <v>171</v>
      </c>
      <c r="D43" s="74">
        <v>10</v>
      </c>
      <c r="E43" s="89" t="s">
        <v>117</v>
      </c>
      <c r="F43" s="474">
        <f>140*2</f>
        <v>280</v>
      </c>
      <c r="G43" s="410">
        <f t="shared" ref="G43" si="17">F43*D43</f>
        <v>2800</v>
      </c>
      <c r="H43" s="283">
        <v>2655</v>
      </c>
      <c r="I43" s="66">
        <f>H43*(1+$I$42)</f>
        <v>3053.2499999999995</v>
      </c>
      <c r="J43" s="66">
        <f>I43*(1+$J$42)</f>
        <v>3663.8999999999992</v>
      </c>
      <c r="K43" s="66">
        <f>J43*(1+$K$42)</f>
        <v>3940.524449999999</v>
      </c>
      <c r="L43" s="58">
        <f>K43*D43</f>
        <v>39405.244499999986</v>
      </c>
      <c r="M43" s="315">
        <f>115*2</f>
        <v>230</v>
      </c>
      <c r="N43" s="314">
        <f>M43+M43*($N$42)</f>
        <v>230</v>
      </c>
      <c r="O43" s="58">
        <f t="shared" ref="O43:O44" si="18">N43*D43</f>
        <v>2300</v>
      </c>
      <c r="P43" s="90">
        <f>K43+N43</f>
        <v>4170.524449999999</v>
      </c>
      <c r="Q43" s="76">
        <f>L43+O43</f>
        <v>41705.244499999986</v>
      </c>
    </row>
    <row r="44" spans="1:17">
      <c r="A44" s="68" t="s">
        <v>109</v>
      </c>
      <c r="B44" s="55" t="s">
        <v>110</v>
      </c>
      <c r="C44" s="54"/>
      <c r="D44" s="56">
        <v>1</v>
      </c>
      <c r="E44" s="57"/>
      <c r="F44" s="411"/>
      <c r="G44" s="412"/>
      <c r="H44" s="284">
        <v>4706.17</v>
      </c>
      <c r="I44" s="66">
        <f>H44*(1+$I$42)</f>
        <v>5412.0954999999994</v>
      </c>
      <c r="J44" s="66">
        <f>I44*(1+$J$42)</f>
        <v>6494.5145999999995</v>
      </c>
      <c r="K44" s="66">
        <f>J44*(1+$K$42)</f>
        <v>6984.8504522999992</v>
      </c>
      <c r="L44" s="58">
        <f>K44*D44</f>
        <v>6984.8504522999992</v>
      </c>
      <c r="M44" s="315">
        <f>115*4</f>
        <v>460</v>
      </c>
      <c r="N44" s="314">
        <f>M44+M44*($N$42)</f>
        <v>460</v>
      </c>
      <c r="O44" s="58">
        <f t="shared" si="18"/>
        <v>460</v>
      </c>
      <c r="P44" s="58">
        <f>K44+N44</f>
        <v>7444.8504522999992</v>
      </c>
      <c r="Q44" s="52">
        <f>L44+O44</f>
        <v>7444.8504522999992</v>
      </c>
    </row>
    <row r="45" spans="1:17" ht="8.25" customHeight="1">
      <c r="A45" s="91"/>
      <c r="E45" s="38"/>
      <c r="F45" s="413"/>
      <c r="H45" s="285"/>
      <c r="I45" s="71"/>
      <c r="J45" s="71"/>
      <c r="K45" s="71"/>
      <c r="L45" s="71"/>
      <c r="M45" s="71"/>
      <c r="N45" s="71"/>
      <c r="O45" s="71"/>
      <c r="P45" s="71"/>
      <c r="Q45" s="71"/>
    </row>
    <row r="46" spans="1:17" ht="18.75">
      <c r="F46" s="414" t="s">
        <v>104</v>
      </c>
      <c r="G46" s="415">
        <f t="shared" ref="G46" si="19">SUM(G43:G44)</f>
        <v>2800</v>
      </c>
      <c r="I46" s="84"/>
      <c r="K46" s="43" t="s">
        <v>104</v>
      </c>
      <c r="L46" s="44">
        <f t="shared" ref="L46" si="20">SUM(L43:L44)</f>
        <v>46390.094952299987</v>
      </c>
      <c r="M46" s="45"/>
      <c r="N46" s="45"/>
      <c r="O46" s="44">
        <f>SUM(O43:O44)</f>
        <v>2760</v>
      </c>
      <c r="P46" s="220"/>
      <c r="Q46" s="46">
        <f>SUM(Q43:Q44)</f>
        <v>49150.094952299987</v>
      </c>
    </row>
  </sheetData>
  <mergeCells count="4">
    <mergeCell ref="F4:G4"/>
    <mergeCell ref="F23:G23"/>
    <mergeCell ref="F32:G32"/>
    <mergeCell ref="F41:G41"/>
  </mergeCells>
  <hyperlinks>
    <hyperlink ref="A43" r:id="rId1" xr:uid="{CB17C894-DC30-4AF7-A4F2-511DE7B50445}"/>
    <hyperlink ref="A26" r:id="rId2" display="C2@180 R2" xr:uid="{6A5F3D38-9FA3-44D0-9D6E-D6071F312810}"/>
    <hyperlink ref="A44" r:id="rId3" display="C2@180 R2" xr:uid="{C707F05C-8E0C-494C-893F-22AF439C5311}"/>
    <hyperlink ref="A35" r:id="rId4" display="C2@180 R2" xr:uid="{0A77AD57-9125-4308-A09D-F322536D0EBA}"/>
    <hyperlink ref="A25" r:id="rId5" xr:uid="{7C79322F-611E-44A0-B4CE-890B3C7FD8F3}"/>
    <hyperlink ref="A11" r:id="rId6" xr:uid="{96B736EA-026B-42E0-B554-4DBA633B704A}"/>
    <hyperlink ref="A8" r:id="rId7" xr:uid="{D5F0C17A-85CF-4F44-89C7-FAB0B7E16668}"/>
    <hyperlink ref="A7" r:id="rId8" xr:uid="{6CED729B-87EB-466B-B492-6F947F45FB29}"/>
  </hyperlinks>
  <pageMargins left="0.7" right="0.7" top="0.75" bottom="0.75" header="0.3" footer="0.3"/>
  <pageSetup orientation="portrait" r:id="rId9"/>
  <legacy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A46A2-A0D5-4703-89A8-024DDF002CE7}">
  <sheetPr codeName="Sheet6"/>
  <dimension ref="A1:K11"/>
  <sheetViews>
    <sheetView zoomScaleNormal="100" workbookViewId="0">
      <selection activeCell="C12" sqref="C12"/>
    </sheetView>
  </sheetViews>
  <sheetFormatPr defaultRowHeight="15"/>
  <cols>
    <col min="2" max="2" width="4.42578125" customWidth="1"/>
    <col min="3" max="3" width="24.85546875" customWidth="1"/>
    <col min="4" max="5" width="11.5703125" bestFit="1" customWidth="1"/>
    <col min="6" max="6" width="12.5703125" bestFit="1" customWidth="1"/>
    <col min="7" max="7" width="1.7109375" customWidth="1"/>
    <col min="8" max="9" width="11.5703125" bestFit="1" customWidth="1"/>
    <col min="10" max="10" width="12.5703125" bestFit="1" customWidth="1"/>
  </cols>
  <sheetData>
    <row r="1" spans="1:11" ht="38.25" customHeight="1">
      <c r="A1" s="209" t="s">
        <v>172</v>
      </c>
      <c r="B1" s="209"/>
      <c r="C1" s="209"/>
      <c r="D1" s="209"/>
      <c r="E1" s="209"/>
      <c r="F1" s="210"/>
      <c r="G1" s="209"/>
      <c r="H1" s="209"/>
      <c r="I1" s="209"/>
      <c r="J1" s="209"/>
      <c r="K1" s="211"/>
    </row>
    <row r="6" spans="1:11">
      <c r="C6" s="95"/>
      <c r="D6" s="560" t="s">
        <v>173</v>
      </c>
      <c r="E6" s="560"/>
      <c r="F6" s="560"/>
      <c r="G6" s="541"/>
      <c r="H6" s="560" t="s">
        <v>174</v>
      </c>
      <c r="I6" s="560"/>
      <c r="J6" s="560"/>
    </row>
    <row r="7" spans="1:11">
      <c r="C7" s="16" t="s">
        <v>175</v>
      </c>
      <c r="D7" s="542" t="s">
        <v>176</v>
      </c>
      <c r="E7" s="542" t="s">
        <v>177</v>
      </c>
      <c r="F7" s="542" t="s">
        <v>104</v>
      </c>
      <c r="G7" s="542"/>
      <c r="H7" s="542" t="s">
        <v>176</v>
      </c>
      <c r="I7" s="542" t="s">
        <v>177</v>
      </c>
      <c r="J7" s="542" t="s">
        <v>104</v>
      </c>
    </row>
    <row r="8" spans="1:11">
      <c r="C8" s="531" t="str">
        <f>Base_Energy!A3</f>
        <v>Model High School</v>
      </c>
      <c r="D8" s="226">
        <f>Capital_R1!L15</f>
        <v>89746.89143399999</v>
      </c>
      <c r="E8" s="226">
        <f>Capital_R1!O15</f>
        <v>11113</v>
      </c>
      <c r="F8" s="226">
        <f>Capital_R1!Q15</f>
        <v>100859.89143399999</v>
      </c>
      <c r="G8" s="226"/>
      <c r="H8" s="226">
        <f>Capital_R2!L19</f>
        <v>91982.957246099977</v>
      </c>
      <c r="I8" s="226">
        <f>Capital_R2!O19</f>
        <v>11113</v>
      </c>
      <c r="J8" s="226">
        <f>Capital_R2!Q19</f>
        <v>103095.95724609998</v>
      </c>
    </row>
    <row r="9" spans="1:11">
      <c r="C9" s="527" t="str">
        <f>Base_Energy!A17</f>
        <v>College Ave (Roadway)</v>
      </c>
      <c r="D9" s="228">
        <f>Capital_R1!L24</f>
        <v>12452.962617899997</v>
      </c>
      <c r="E9" s="228">
        <f>Capital_R1!O24</f>
        <v>1150</v>
      </c>
      <c r="F9" s="228">
        <f>Capital_R1!Q24</f>
        <v>13602.962617899997</v>
      </c>
      <c r="G9" s="228"/>
      <c r="H9" s="228">
        <f>Capital_R2!L28</f>
        <v>15293.702277899996</v>
      </c>
      <c r="I9" s="228">
        <f>Capital_R2!O28</f>
        <v>1150</v>
      </c>
      <c r="J9" s="228">
        <f>Capital_R2!Q28</f>
        <v>16443.702277899996</v>
      </c>
    </row>
    <row r="10" spans="1:11">
      <c r="C10" s="523" t="str">
        <f>Base_Energy!A26</f>
        <v>College Ave (Area)</v>
      </c>
      <c r="D10" s="228">
        <f>Capital_R1!L33</f>
        <v>14610.470253299996</v>
      </c>
      <c r="E10" s="228">
        <f>Capital_R1!O33</f>
        <v>1757.5</v>
      </c>
      <c r="F10" s="228">
        <f>Capital_R1!Q33</f>
        <v>16367.970253299996</v>
      </c>
      <c r="G10" s="228"/>
      <c r="H10" s="228">
        <f>Capital_R2!L37</f>
        <v>14610.470253299996</v>
      </c>
      <c r="I10" s="228">
        <f>Capital_R2!O37</f>
        <v>1757.5</v>
      </c>
      <c r="J10" s="228">
        <f>Capital_R2!Q37</f>
        <v>16367.970253299996</v>
      </c>
    </row>
    <row r="11" spans="1:11">
      <c r="C11" s="519" t="str">
        <f>Base_Energy!A35</f>
        <v>College Ave (Decorative)</v>
      </c>
      <c r="D11" s="228">
        <f>Capital_R1!L42</f>
        <v>32750.388852299999</v>
      </c>
      <c r="E11" s="228">
        <f>Capital_R1!O42</f>
        <v>2760</v>
      </c>
      <c r="F11" s="228">
        <f>Capital_R1!Q42</f>
        <v>35510.388852299999</v>
      </c>
      <c r="G11" s="228"/>
      <c r="H11" s="228">
        <f>Capital_R2!L46</f>
        <v>46390.094952299987</v>
      </c>
      <c r="I11" s="228">
        <f>Capital_R2!O46</f>
        <v>2760</v>
      </c>
      <c r="J11" s="228">
        <f>Capital_R2!Q46</f>
        <v>49150.094952299987</v>
      </c>
    </row>
  </sheetData>
  <mergeCells count="2">
    <mergeCell ref="H6:J6"/>
    <mergeCell ref="D6:F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6C42C-3385-48E9-A932-1E14583C8B69}">
  <sheetPr codeName="Sheet7">
    <tabColor theme="7" tint="0.79998168889431442"/>
  </sheetPr>
  <dimension ref="A1:AD41"/>
  <sheetViews>
    <sheetView topLeftCell="M1" zoomScaleNormal="100" workbookViewId="0">
      <selection activeCell="A34" sqref="A34"/>
    </sheetView>
  </sheetViews>
  <sheetFormatPr defaultRowHeight="15"/>
  <cols>
    <col min="1" max="1" width="24.85546875" customWidth="1"/>
    <col min="2" max="2" width="17" customWidth="1"/>
    <col min="3" max="3" width="32.7109375" customWidth="1"/>
    <col min="4" max="4" width="9.85546875" style="38" customWidth="1"/>
    <col min="5" max="5" width="32.7109375" customWidth="1"/>
    <col min="6" max="6" width="19.7109375" style="81" customWidth="1"/>
    <col min="7" max="7" width="19.5703125" style="81" customWidth="1"/>
    <col min="8" max="8" width="12.7109375" style="353" customWidth="1"/>
    <col min="9" max="13" width="15.7109375" customWidth="1"/>
    <col min="14" max="14" width="12.7109375" style="361" customWidth="1"/>
    <col min="15" max="19" width="15.7109375" customWidth="1"/>
    <col min="20" max="20" width="12.7109375" customWidth="1"/>
    <col min="21" max="24" width="15.7109375" customWidth="1"/>
    <col min="25" max="26" width="15.7109375" style="38" customWidth="1"/>
  </cols>
  <sheetData>
    <row r="1" spans="1:30" ht="38.25" customHeight="1">
      <c r="A1" s="209" t="s">
        <v>178</v>
      </c>
      <c r="B1" s="209"/>
      <c r="C1" s="209"/>
      <c r="D1" s="209"/>
      <c r="E1" s="209"/>
      <c r="F1" s="344"/>
      <c r="G1" s="344"/>
      <c r="H1" s="349"/>
      <c r="I1" s="209"/>
      <c r="J1" s="209"/>
      <c r="K1" s="209"/>
      <c r="L1" s="209"/>
      <c r="M1" s="209"/>
      <c r="N1" s="354"/>
      <c r="O1" s="209"/>
      <c r="P1" s="209"/>
      <c r="Q1" s="209"/>
      <c r="R1" s="209"/>
      <c r="S1" s="209"/>
      <c r="T1" s="209"/>
      <c r="U1" s="209"/>
      <c r="V1" s="209"/>
      <c r="W1" s="209"/>
      <c r="X1" s="209"/>
      <c r="Y1" s="212"/>
      <c r="Z1" s="212"/>
      <c r="AD1" s="1"/>
    </row>
    <row r="2" spans="1:30">
      <c r="A2" s="2"/>
      <c r="B2" s="3"/>
      <c r="C2" s="3"/>
      <c r="D2" s="3"/>
      <c r="E2" s="3"/>
      <c r="F2" s="265"/>
      <c r="G2" s="265"/>
      <c r="H2" s="350"/>
      <c r="I2" s="3"/>
      <c r="J2" s="3"/>
      <c r="K2" s="3"/>
      <c r="L2" s="3"/>
      <c r="M2" s="3"/>
      <c r="N2" s="350"/>
      <c r="O2" s="3"/>
      <c r="P2" s="3"/>
      <c r="Q2" s="3"/>
      <c r="R2" s="3"/>
      <c r="S2" s="3"/>
      <c r="T2" s="3"/>
      <c r="U2" s="3"/>
      <c r="V2" s="3"/>
      <c r="W2" s="3"/>
      <c r="X2" s="3"/>
      <c r="Y2" s="3"/>
      <c r="Z2" s="3"/>
      <c r="AD2" s="1"/>
    </row>
    <row r="3" spans="1:30" ht="18.75">
      <c r="A3" s="530" t="str">
        <f>Base_Energy!A3</f>
        <v>Model High School</v>
      </c>
      <c r="B3" s="5"/>
      <c r="C3" s="5"/>
      <c r="D3" s="6"/>
      <c r="E3" s="7"/>
      <c r="F3" s="266"/>
      <c r="G3" s="266"/>
      <c r="H3" s="351"/>
      <c r="I3" s="158"/>
      <c r="J3" s="158"/>
      <c r="K3" s="158"/>
      <c r="L3" s="158"/>
      <c r="M3" s="158"/>
      <c r="N3" s="355"/>
      <c r="O3" s="158"/>
      <c r="P3" s="158"/>
      <c r="Q3" s="7"/>
      <c r="R3" s="158"/>
      <c r="S3" s="158"/>
      <c r="T3" s="158"/>
      <c r="U3" s="158"/>
      <c r="V3" s="158"/>
      <c r="W3" s="7"/>
      <c r="X3" s="158"/>
      <c r="Y3" s="179"/>
      <c r="Z3" s="428"/>
    </row>
    <row r="4" spans="1:30">
      <c r="A4" s="9"/>
      <c r="B4" s="10"/>
      <c r="C4" s="10"/>
      <c r="D4" s="11"/>
      <c r="E4" s="11"/>
      <c r="F4" s="267"/>
      <c r="G4" s="267"/>
      <c r="H4" s="563" t="s">
        <v>179</v>
      </c>
      <c r="I4" s="560"/>
      <c r="J4" s="560"/>
      <c r="K4" s="317">
        <v>0</v>
      </c>
      <c r="L4" s="418"/>
      <c r="M4" s="300"/>
      <c r="N4" s="564" t="s">
        <v>180</v>
      </c>
      <c r="O4" s="565"/>
      <c r="P4" s="565"/>
      <c r="Q4" s="19">
        <v>0</v>
      </c>
      <c r="R4" s="418"/>
      <c r="S4" s="300"/>
      <c r="T4" s="563" t="s">
        <v>181</v>
      </c>
      <c r="U4" s="560"/>
      <c r="V4" s="317">
        <v>0</v>
      </c>
      <c r="W4" s="297"/>
      <c r="X4" s="299"/>
      <c r="Y4" s="561" t="s">
        <v>182</v>
      </c>
      <c r="Z4" s="562"/>
    </row>
    <row r="5" spans="1:30">
      <c r="A5" s="15" t="s">
        <v>81</v>
      </c>
      <c r="B5" s="16" t="s">
        <v>82</v>
      </c>
      <c r="C5" s="16" t="s">
        <v>83</v>
      </c>
      <c r="D5" s="542" t="s">
        <v>84</v>
      </c>
      <c r="E5" s="542" t="s">
        <v>85</v>
      </c>
      <c r="F5" s="268" t="s">
        <v>183</v>
      </c>
      <c r="G5" s="268" t="s">
        <v>184</v>
      </c>
      <c r="H5" s="352" t="s">
        <v>185</v>
      </c>
      <c r="I5" s="542" t="s">
        <v>143</v>
      </c>
      <c r="J5" s="542" t="s">
        <v>125</v>
      </c>
      <c r="K5" s="299" t="s">
        <v>122</v>
      </c>
      <c r="L5" s="371" t="s">
        <v>186</v>
      </c>
      <c r="M5" s="417" t="s">
        <v>187</v>
      </c>
      <c r="N5" s="356" t="s">
        <v>185</v>
      </c>
      <c r="O5" s="305" t="s">
        <v>143</v>
      </c>
      <c r="P5" s="542" t="s">
        <v>125</v>
      </c>
      <c r="Q5" s="299" t="s">
        <v>122</v>
      </c>
      <c r="R5" s="371" t="s">
        <v>186</v>
      </c>
      <c r="S5" s="301" t="s">
        <v>187</v>
      </c>
      <c r="T5" s="540" t="s">
        <v>188</v>
      </c>
      <c r="U5" s="542" t="s">
        <v>125</v>
      </c>
      <c r="V5" s="298" t="s">
        <v>122</v>
      </c>
      <c r="W5" s="298" t="s">
        <v>186</v>
      </c>
      <c r="X5" s="427" t="s">
        <v>187</v>
      </c>
      <c r="Y5" s="450" t="s">
        <v>189</v>
      </c>
      <c r="Z5" s="401" t="s">
        <v>190</v>
      </c>
    </row>
    <row r="6" spans="1:30">
      <c r="A6" s="163" t="s">
        <v>88</v>
      </c>
      <c r="B6" s="164" t="s">
        <v>89</v>
      </c>
      <c r="C6" s="163" t="s">
        <v>90</v>
      </c>
      <c r="D6" s="22">
        <v>18</v>
      </c>
      <c r="E6" s="21"/>
      <c r="F6" s="269">
        <v>10000</v>
      </c>
      <c r="G6" s="306">
        <f>'OpHrs_Summary (Ref)'!$J$24</f>
        <v>4304.6641666666665</v>
      </c>
      <c r="H6" s="331">
        <f>G6/F6</f>
        <v>0.43046641666666663</v>
      </c>
      <c r="I6" s="329">
        <v>38</v>
      </c>
      <c r="J6" s="161">
        <v>115</v>
      </c>
      <c r="K6" s="24">
        <f t="shared" ref="K6:K12" si="0">J6*(1+$K$4)</f>
        <v>115</v>
      </c>
      <c r="L6" s="24">
        <f>(I6+K6)*H6</f>
        <v>65.86136175</v>
      </c>
      <c r="M6" s="302">
        <f>L6*$D6</f>
        <v>1185.5045115</v>
      </c>
      <c r="N6" s="357">
        <f>G6/50000</f>
        <v>8.6093283333333326E-2</v>
      </c>
      <c r="O6" s="161">
        <f>55</f>
        <v>55</v>
      </c>
      <c r="P6" s="161">
        <f>J6/2</f>
        <v>57.5</v>
      </c>
      <c r="Q6" s="24">
        <f>P6*(1+$Q$4)</f>
        <v>57.5</v>
      </c>
      <c r="R6" s="24">
        <f t="shared" ref="R6:R12" si="1">(O6+Q6)*N6</f>
        <v>9.6854943749999993</v>
      </c>
      <c r="S6" s="24">
        <f>R6*$D6</f>
        <v>174.33889875</v>
      </c>
      <c r="T6" s="362">
        <v>0</v>
      </c>
      <c r="U6" s="324">
        <f>J6/2</f>
        <v>57.5</v>
      </c>
      <c r="V6" s="370">
        <f>U6*(1+$V$4)</f>
        <v>57.5</v>
      </c>
      <c r="W6" s="370">
        <f t="shared" ref="W6:W12" si="2">V6*T6</f>
        <v>0</v>
      </c>
      <c r="X6" s="370">
        <f>W6*$D6</f>
        <v>0</v>
      </c>
      <c r="Y6" s="432">
        <f>L6+R6+W6</f>
        <v>75.546856125000005</v>
      </c>
      <c r="Z6" s="433">
        <f>Y6*$D6</f>
        <v>1359.84341025</v>
      </c>
    </row>
    <row r="7" spans="1:30">
      <c r="A7" s="163" t="s">
        <v>91</v>
      </c>
      <c r="B7" s="164" t="s">
        <v>89</v>
      </c>
      <c r="C7" s="163" t="s">
        <v>90</v>
      </c>
      <c r="D7" s="22">
        <v>4</v>
      </c>
      <c r="E7" s="21"/>
      <c r="F7" s="269">
        <v>10000</v>
      </c>
      <c r="G7" s="307">
        <f>'OpHrs_Summary (Ref)'!$J$24</f>
        <v>4304.6641666666665</v>
      </c>
      <c r="H7" s="331">
        <f t="shared" ref="H7:H12" si="3">G7/F7</f>
        <v>0.43046641666666663</v>
      </c>
      <c r="I7" s="329">
        <v>38</v>
      </c>
      <c r="J7" s="161">
        <v>115</v>
      </c>
      <c r="K7" s="24">
        <f t="shared" si="0"/>
        <v>115</v>
      </c>
      <c r="L7" s="24">
        <f t="shared" ref="L7:L12" si="4">(I7+K7)*H7</f>
        <v>65.86136175</v>
      </c>
      <c r="M7" s="302">
        <f t="shared" ref="M7:M12" si="5">L7*$D7</f>
        <v>263.445447</v>
      </c>
      <c r="N7" s="357">
        <f t="shared" ref="N7:N12" si="6">G7/50000</f>
        <v>8.6093283333333326E-2</v>
      </c>
      <c r="O7" s="161">
        <v>55</v>
      </c>
      <c r="P7" s="161">
        <f t="shared" ref="P7:P12" si="7">J7/2</f>
        <v>57.5</v>
      </c>
      <c r="Q7" s="24">
        <f t="shared" ref="Q7:Q12" si="8">P7*(1+$Q$4)</f>
        <v>57.5</v>
      </c>
      <c r="R7" s="24">
        <f t="shared" si="1"/>
        <v>9.6854943749999993</v>
      </c>
      <c r="S7" s="24">
        <f t="shared" ref="S7:S12" si="9">R7*$D7</f>
        <v>38.741977499999997</v>
      </c>
      <c r="T7" s="331">
        <v>0</v>
      </c>
      <c r="U7" s="168">
        <f>J7/2</f>
        <v>57.5</v>
      </c>
      <c r="V7" s="24">
        <f t="shared" ref="V7:V12" si="10">U7*(1+$V$4)</f>
        <v>57.5</v>
      </c>
      <c r="W7" s="24">
        <f t="shared" si="2"/>
        <v>0</v>
      </c>
      <c r="X7" s="24">
        <f t="shared" ref="X7:X12" si="11">W7*$D7</f>
        <v>0</v>
      </c>
      <c r="Y7" s="434">
        <f t="shared" ref="Y7:Y12" si="12">L7+R7+W7</f>
        <v>75.546856125000005</v>
      </c>
      <c r="Z7" s="422">
        <f t="shared" ref="Z7:Z12" si="13">Y7*$D7</f>
        <v>302.18742450000002</v>
      </c>
    </row>
    <row r="8" spans="1:30">
      <c r="A8" s="165" t="s">
        <v>92</v>
      </c>
      <c r="B8" s="164" t="s">
        <v>89</v>
      </c>
      <c r="C8" s="163" t="s">
        <v>90</v>
      </c>
      <c r="D8" s="22">
        <v>10</v>
      </c>
      <c r="E8" s="28" t="s">
        <v>93</v>
      </c>
      <c r="F8" s="269">
        <v>10000</v>
      </c>
      <c r="G8" s="307">
        <f>'OpHrs_Summary (Ref)'!$J$24</f>
        <v>4304.6641666666665</v>
      </c>
      <c r="H8" s="331">
        <f t="shared" si="3"/>
        <v>0.43046641666666663</v>
      </c>
      <c r="I8" s="329">
        <f>38*2</f>
        <v>76</v>
      </c>
      <c r="J8" s="161">
        <f>115*2</f>
        <v>230</v>
      </c>
      <c r="K8" s="24">
        <f t="shared" si="0"/>
        <v>230</v>
      </c>
      <c r="L8" s="24">
        <f t="shared" si="4"/>
        <v>131.7227235</v>
      </c>
      <c r="M8" s="302">
        <f t="shared" si="5"/>
        <v>1317.2272350000001</v>
      </c>
      <c r="N8" s="357">
        <f t="shared" si="6"/>
        <v>8.6093283333333326E-2</v>
      </c>
      <c r="O8" s="161">
        <f>55*2</f>
        <v>110</v>
      </c>
      <c r="P8" s="161">
        <f t="shared" si="7"/>
        <v>115</v>
      </c>
      <c r="Q8" s="24">
        <f t="shared" si="8"/>
        <v>115</v>
      </c>
      <c r="R8" s="24">
        <f t="shared" si="1"/>
        <v>19.370988749999999</v>
      </c>
      <c r="S8" s="24">
        <f t="shared" si="9"/>
        <v>193.70988749999998</v>
      </c>
      <c r="T8" s="331">
        <v>0</v>
      </c>
      <c r="U8" s="168">
        <f t="shared" ref="U8:U12" si="14">J8/2</f>
        <v>115</v>
      </c>
      <c r="V8" s="24">
        <f t="shared" si="10"/>
        <v>115</v>
      </c>
      <c r="W8" s="24">
        <f t="shared" si="2"/>
        <v>0</v>
      </c>
      <c r="X8" s="24">
        <f t="shared" si="11"/>
        <v>0</v>
      </c>
      <c r="Y8" s="434">
        <f t="shared" si="12"/>
        <v>151.09371225000001</v>
      </c>
      <c r="Z8" s="422">
        <f t="shared" si="13"/>
        <v>1510.9371225</v>
      </c>
    </row>
    <row r="9" spans="1:30">
      <c r="A9" s="163" t="s">
        <v>100</v>
      </c>
      <c r="B9" s="164" t="s">
        <v>101</v>
      </c>
      <c r="C9" s="163" t="s">
        <v>102</v>
      </c>
      <c r="D9" s="22">
        <v>6</v>
      </c>
      <c r="E9" s="21"/>
      <c r="F9" s="269">
        <v>10000</v>
      </c>
      <c r="G9" s="307">
        <f>'OpHrs_Summary (Ref)'!$J$24</f>
        <v>4304.6641666666665</v>
      </c>
      <c r="H9" s="331">
        <f t="shared" si="3"/>
        <v>0.43046641666666663</v>
      </c>
      <c r="I9" s="329">
        <v>38</v>
      </c>
      <c r="J9" s="161">
        <v>115</v>
      </c>
      <c r="K9" s="24">
        <f t="shared" si="0"/>
        <v>115</v>
      </c>
      <c r="L9" s="24">
        <f t="shared" si="4"/>
        <v>65.86136175</v>
      </c>
      <c r="M9" s="302">
        <f t="shared" si="5"/>
        <v>395.16817049999997</v>
      </c>
      <c r="N9" s="357">
        <f t="shared" si="6"/>
        <v>8.6093283333333326E-2</v>
      </c>
      <c r="O9" s="161">
        <v>55</v>
      </c>
      <c r="P9" s="161">
        <f t="shared" si="7"/>
        <v>57.5</v>
      </c>
      <c r="Q9" s="24">
        <f t="shared" si="8"/>
        <v>57.5</v>
      </c>
      <c r="R9" s="24">
        <f t="shared" si="1"/>
        <v>9.6854943749999993</v>
      </c>
      <c r="S9" s="24">
        <f t="shared" si="9"/>
        <v>58.112966249999999</v>
      </c>
      <c r="T9" s="331">
        <v>0</v>
      </c>
      <c r="U9" s="168">
        <f t="shared" si="14"/>
        <v>57.5</v>
      </c>
      <c r="V9" s="24">
        <f t="shared" si="10"/>
        <v>57.5</v>
      </c>
      <c r="W9" s="24">
        <f t="shared" si="2"/>
        <v>0</v>
      </c>
      <c r="X9" s="24">
        <f t="shared" si="11"/>
        <v>0</v>
      </c>
      <c r="Y9" s="434">
        <f t="shared" si="12"/>
        <v>75.546856125000005</v>
      </c>
      <c r="Z9" s="422">
        <f t="shared" si="13"/>
        <v>453.28113675000003</v>
      </c>
    </row>
    <row r="10" spans="1:30">
      <c r="A10" s="163" t="s">
        <v>94</v>
      </c>
      <c r="B10" s="164" t="s">
        <v>89</v>
      </c>
      <c r="C10" s="163" t="s">
        <v>97</v>
      </c>
      <c r="D10" s="22">
        <v>16</v>
      </c>
      <c r="E10" s="21"/>
      <c r="F10" s="269">
        <v>10000</v>
      </c>
      <c r="G10" s="307">
        <f>'OpHrs_Summary (Ref)'!$J$24</f>
        <v>4304.6641666666665</v>
      </c>
      <c r="H10" s="331">
        <f t="shared" si="3"/>
        <v>0.43046641666666663</v>
      </c>
      <c r="I10" s="329">
        <v>38</v>
      </c>
      <c r="J10" s="161">
        <v>115</v>
      </c>
      <c r="K10" s="24">
        <f t="shared" si="0"/>
        <v>115</v>
      </c>
      <c r="L10" s="24">
        <f t="shared" si="4"/>
        <v>65.86136175</v>
      </c>
      <c r="M10" s="302">
        <f t="shared" si="5"/>
        <v>1053.781788</v>
      </c>
      <c r="N10" s="357">
        <f t="shared" si="6"/>
        <v>8.6093283333333326E-2</v>
      </c>
      <c r="O10" s="161">
        <v>55</v>
      </c>
      <c r="P10" s="161">
        <f t="shared" si="7"/>
        <v>57.5</v>
      </c>
      <c r="Q10" s="24">
        <f t="shared" si="8"/>
        <v>57.5</v>
      </c>
      <c r="R10" s="24">
        <f t="shared" si="1"/>
        <v>9.6854943749999993</v>
      </c>
      <c r="S10" s="24">
        <f t="shared" si="9"/>
        <v>154.96790999999999</v>
      </c>
      <c r="T10" s="331">
        <v>0</v>
      </c>
      <c r="U10" s="168">
        <f t="shared" si="14"/>
        <v>57.5</v>
      </c>
      <c r="V10" s="24">
        <f t="shared" si="10"/>
        <v>57.5</v>
      </c>
      <c r="W10" s="24">
        <f t="shared" si="2"/>
        <v>0</v>
      </c>
      <c r="X10" s="24">
        <f t="shared" si="11"/>
        <v>0</v>
      </c>
      <c r="Y10" s="434">
        <f t="shared" si="12"/>
        <v>75.546856125000005</v>
      </c>
      <c r="Z10" s="422">
        <f t="shared" si="13"/>
        <v>1208.7496980000001</v>
      </c>
    </row>
    <row r="11" spans="1:30">
      <c r="A11" s="163" t="s">
        <v>96</v>
      </c>
      <c r="B11" s="164" t="s">
        <v>89</v>
      </c>
      <c r="C11" s="163" t="s">
        <v>99</v>
      </c>
      <c r="D11" s="22">
        <v>19</v>
      </c>
      <c r="E11" s="28"/>
      <c r="F11" s="269">
        <v>10000</v>
      </c>
      <c r="G11" s="307">
        <f>'OpHrs_Summary (Ref)'!$J$24</f>
        <v>4304.6641666666665</v>
      </c>
      <c r="H11" s="331">
        <f t="shared" si="3"/>
        <v>0.43046641666666663</v>
      </c>
      <c r="I11" s="329">
        <v>38</v>
      </c>
      <c r="J11" s="161">
        <v>115</v>
      </c>
      <c r="K11" s="24">
        <f t="shared" si="0"/>
        <v>115</v>
      </c>
      <c r="L11" s="24">
        <f t="shared" si="4"/>
        <v>65.86136175</v>
      </c>
      <c r="M11" s="302">
        <f t="shared" si="5"/>
        <v>1251.36587325</v>
      </c>
      <c r="N11" s="357">
        <f t="shared" si="6"/>
        <v>8.6093283333333326E-2</v>
      </c>
      <c r="O11" s="161">
        <v>55</v>
      </c>
      <c r="P11" s="161">
        <f t="shared" si="7"/>
        <v>57.5</v>
      </c>
      <c r="Q11" s="24">
        <f t="shared" si="8"/>
        <v>57.5</v>
      </c>
      <c r="R11" s="24">
        <f t="shared" si="1"/>
        <v>9.6854943749999993</v>
      </c>
      <c r="S11" s="24">
        <f t="shared" si="9"/>
        <v>184.02439312499999</v>
      </c>
      <c r="T11" s="331">
        <v>0</v>
      </c>
      <c r="U11" s="168">
        <f t="shared" si="14"/>
        <v>57.5</v>
      </c>
      <c r="V11" s="24">
        <f t="shared" si="10"/>
        <v>57.5</v>
      </c>
      <c r="W11" s="24">
        <f t="shared" si="2"/>
        <v>0</v>
      </c>
      <c r="X11" s="24">
        <f t="shared" si="11"/>
        <v>0</v>
      </c>
      <c r="Y11" s="434">
        <f t="shared" si="12"/>
        <v>75.546856125000005</v>
      </c>
      <c r="Z11" s="422">
        <f t="shared" si="13"/>
        <v>1435.390266375</v>
      </c>
    </row>
    <row r="12" spans="1:30">
      <c r="A12" s="166" t="s">
        <v>98</v>
      </c>
      <c r="B12" s="167" t="s">
        <v>89</v>
      </c>
      <c r="C12" s="166" t="s">
        <v>95</v>
      </c>
      <c r="D12" s="32">
        <v>1</v>
      </c>
      <c r="E12" s="30"/>
      <c r="F12" s="270">
        <v>10000</v>
      </c>
      <c r="G12" s="308">
        <f>'OpHrs_Summary (Ref)'!$J$24</f>
        <v>4304.6641666666665</v>
      </c>
      <c r="H12" s="347">
        <f t="shared" si="3"/>
        <v>0.43046641666666663</v>
      </c>
      <c r="I12" s="330">
        <v>38</v>
      </c>
      <c r="J12" s="339">
        <v>115</v>
      </c>
      <c r="K12" s="303">
        <f t="shared" si="0"/>
        <v>115</v>
      </c>
      <c r="L12" s="303">
        <f t="shared" si="4"/>
        <v>65.86136175</v>
      </c>
      <c r="M12" s="304">
        <f t="shared" si="5"/>
        <v>65.86136175</v>
      </c>
      <c r="N12" s="358">
        <f t="shared" si="6"/>
        <v>8.6093283333333326E-2</v>
      </c>
      <c r="O12" s="339">
        <v>55</v>
      </c>
      <c r="P12" s="339">
        <f t="shared" si="7"/>
        <v>57.5</v>
      </c>
      <c r="Q12" s="303">
        <f t="shared" si="8"/>
        <v>57.5</v>
      </c>
      <c r="R12" s="303">
        <f t="shared" si="1"/>
        <v>9.6854943749999993</v>
      </c>
      <c r="S12" s="303">
        <f t="shared" si="9"/>
        <v>9.6854943749999993</v>
      </c>
      <c r="T12" s="347">
        <v>0</v>
      </c>
      <c r="U12" s="169">
        <f t="shared" si="14"/>
        <v>57.5</v>
      </c>
      <c r="V12" s="303">
        <f t="shared" si="10"/>
        <v>57.5</v>
      </c>
      <c r="W12" s="303">
        <f t="shared" si="2"/>
        <v>0</v>
      </c>
      <c r="X12" s="303">
        <f t="shared" si="11"/>
        <v>0</v>
      </c>
      <c r="Y12" s="435">
        <f t="shared" si="12"/>
        <v>75.546856125000005</v>
      </c>
      <c r="Z12" s="423">
        <f t="shared" si="13"/>
        <v>75.546856125000005</v>
      </c>
    </row>
    <row r="13" spans="1:30" ht="8.25" customHeight="1">
      <c r="H13" s="348"/>
      <c r="I13" s="39"/>
      <c r="J13" s="39"/>
      <c r="K13" s="40"/>
      <c r="L13" s="40"/>
      <c r="M13" s="40"/>
      <c r="N13" s="359"/>
      <c r="O13" s="40"/>
      <c r="P13" s="40"/>
      <c r="Q13" s="40"/>
      <c r="R13" s="40"/>
      <c r="S13" s="40"/>
      <c r="T13" s="40"/>
      <c r="V13" s="40"/>
      <c r="W13" s="40"/>
      <c r="X13" s="40"/>
      <c r="Y13" s="424"/>
      <c r="Z13" s="424"/>
    </row>
    <row r="14" spans="1:30" ht="18.75">
      <c r="L14" s="43" t="s">
        <v>142</v>
      </c>
      <c r="M14" s="46">
        <f>SUM(M6:M12)</f>
        <v>5532.3543869999994</v>
      </c>
      <c r="N14" s="360"/>
      <c r="O14" s="45"/>
      <c r="P14" s="45"/>
      <c r="Q14" s="45"/>
      <c r="R14" s="45"/>
      <c r="S14" s="46">
        <f>SUM(S6:S12)</f>
        <v>813.58152749999988</v>
      </c>
      <c r="T14" s="45"/>
      <c r="U14" s="40"/>
      <c r="V14" s="40"/>
      <c r="W14" s="45"/>
      <c r="X14" s="46">
        <f>SUM(X6:X12)</f>
        <v>0</v>
      </c>
      <c r="Y14" s="425"/>
      <c r="Z14" s="426">
        <f>SUM(Z6:Z12)</f>
        <v>6345.9359144999999</v>
      </c>
    </row>
    <row r="15" spans="1:30">
      <c r="A15" s="47"/>
    </row>
    <row r="16" spans="1:30">
      <c r="A16" s="47"/>
    </row>
    <row r="17" spans="1:26" ht="18.75">
      <c r="A17" s="526" t="str">
        <f>Base_Energy!A17</f>
        <v>College Ave (Roadway)</v>
      </c>
      <c r="B17" s="5"/>
      <c r="C17" s="5"/>
      <c r="D17" s="6"/>
      <c r="E17" s="7"/>
      <c r="F17" s="266"/>
      <c r="G17" s="266"/>
      <c r="H17" s="351"/>
      <c r="I17" s="158"/>
      <c r="J17" s="158"/>
      <c r="K17" s="7"/>
      <c r="L17" s="158"/>
      <c r="M17" s="158"/>
      <c r="N17" s="355"/>
      <c r="O17" s="158"/>
      <c r="P17" s="158"/>
      <c r="Q17" s="7"/>
      <c r="R17" s="158"/>
      <c r="S17" s="158"/>
      <c r="T17" s="158"/>
      <c r="U17" s="158"/>
      <c r="V17" s="158"/>
      <c r="W17" s="158"/>
      <c r="X17" s="158"/>
      <c r="Y17" s="179"/>
      <c r="Z17" s="421"/>
    </row>
    <row r="18" spans="1:26">
      <c r="A18" s="9"/>
      <c r="B18" s="10"/>
      <c r="C18" s="10"/>
      <c r="D18" s="11"/>
      <c r="E18" s="11"/>
      <c r="F18" s="267"/>
      <c r="G18" s="267"/>
      <c r="H18" s="563" t="s">
        <v>179</v>
      </c>
      <c r="I18" s="560"/>
      <c r="J18" s="560"/>
      <c r="K18" s="19">
        <v>0</v>
      </c>
      <c r="L18" s="418"/>
      <c r="M18" s="300"/>
      <c r="N18" s="564" t="s">
        <v>180</v>
      </c>
      <c r="O18" s="565"/>
      <c r="P18" s="565"/>
      <c r="Q18" s="19">
        <v>0</v>
      </c>
      <c r="R18" s="418"/>
      <c r="S18" s="300"/>
      <c r="T18" s="566" t="s">
        <v>181</v>
      </c>
      <c r="U18" s="567"/>
      <c r="V18" s="429">
        <v>0</v>
      </c>
      <c r="W18" s="430"/>
      <c r="X18" s="420"/>
      <c r="Y18" s="561" t="s">
        <v>182</v>
      </c>
      <c r="Z18" s="562"/>
    </row>
    <row r="19" spans="1:26">
      <c r="A19" s="15" t="s">
        <v>81</v>
      </c>
      <c r="B19" s="16" t="s">
        <v>82</v>
      </c>
      <c r="C19" s="16" t="s">
        <v>83</v>
      </c>
      <c r="D19" s="542" t="s">
        <v>84</v>
      </c>
      <c r="E19" s="542" t="s">
        <v>85</v>
      </c>
      <c r="F19" s="268" t="s">
        <v>183</v>
      </c>
      <c r="G19" s="268" t="s">
        <v>184</v>
      </c>
      <c r="H19" s="352" t="s">
        <v>185</v>
      </c>
      <c r="I19" s="542" t="s">
        <v>143</v>
      </c>
      <c r="J19" s="542" t="s">
        <v>125</v>
      </c>
      <c r="K19" s="299" t="s">
        <v>122</v>
      </c>
      <c r="L19" s="371" t="s">
        <v>186</v>
      </c>
      <c r="M19" s="301" t="s">
        <v>187</v>
      </c>
      <c r="N19" s="356" t="s">
        <v>185</v>
      </c>
      <c r="O19" s="305" t="s">
        <v>143</v>
      </c>
      <c r="P19" s="542" t="s">
        <v>125</v>
      </c>
      <c r="Q19" s="299" t="s">
        <v>122</v>
      </c>
      <c r="R19" s="371" t="s">
        <v>186</v>
      </c>
      <c r="S19" s="305" t="s">
        <v>187</v>
      </c>
      <c r="T19" s="540" t="s">
        <v>188</v>
      </c>
      <c r="U19" s="538" t="s">
        <v>125</v>
      </c>
      <c r="V19" s="298" t="s">
        <v>122</v>
      </c>
      <c r="W19" s="298" t="s">
        <v>186</v>
      </c>
      <c r="X19" s="323" t="s">
        <v>187</v>
      </c>
      <c r="Y19" s="450" t="s">
        <v>189</v>
      </c>
      <c r="Z19" s="401" t="s">
        <v>190</v>
      </c>
    </row>
    <row r="20" spans="1:26">
      <c r="A20" s="170" t="s">
        <v>191</v>
      </c>
      <c r="B20" s="171" t="s">
        <v>89</v>
      </c>
      <c r="C20" s="172" t="s">
        <v>192</v>
      </c>
      <c r="D20" s="83">
        <v>3</v>
      </c>
      <c r="E20" s="51" t="s">
        <v>93</v>
      </c>
      <c r="F20" s="271">
        <v>24000</v>
      </c>
      <c r="G20" s="291">
        <f>'OpHrs_Summary (Ref)'!$J$24</f>
        <v>4304.6641666666665</v>
      </c>
      <c r="H20" s="347">
        <f>G20/F20</f>
        <v>0.17936100694444443</v>
      </c>
      <c r="I20" s="330">
        <f>38*2</f>
        <v>76</v>
      </c>
      <c r="J20" s="339">
        <f>115*2</f>
        <v>230</v>
      </c>
      <c r="K20" s="303">
        <f>J20*(1+$K$18)</f>
        <v>230</v>
      </c>
      <c r="L20" s="314">
        <f>(I20+K20)*H20</f>
        <v>54.884468124999998</v>
      </c>
      <c r="M20" s="304">
        <f>L20*$D20</f>
        <v>164.65340437499998</v>
      </c>
      <c r="N20" s="358">
        <f>G20/50000</f>
        <v>8.6093283333333326E-2</v>
      </c>
      <c r="O20" s="339">
        <f>55*2</f>
        <v>110</v>
      </c>
      <c r="P20" s="339">
        <f>J20/2</f>
        <v>115</v>
      </c>
      <c r="Q20" s="303">
        <f>P20*(1+$Q$18)</f>
        <v>115</v>
      </c>
      <c r="R20" s="303">
        <f t="shared" ref="R20" si="15">(O20+Q20)*N20</f>
        <v>19.370988749999999</v>
      </c>
      <c r="S20" s="303">
        <f t="shared" ref="S20" si="16">R20*$D20</f>
        <v>58.112966249999999</v>
      </c>
      <c r="T20" s="332">
        <v>0</v>
      </c>
      <c r="U20" s="375">
        <f>J20/2</f>
        <v>115</v>
      </c>
      <c r="V20" s="314">
        <f>U20*(1+$V$4)</f>
        <v>115</v>
      </c>
      <c r="W20" s="314">
        <f>V20*T20</f>
        <v>0</v>
      </c>
      <c r="X20" s="316">
        <f t="shared" ref="X20" si="17">W20*$D20</f>
        <v>0</v>
      </c>
      <c r="Y20" s="453">
        <f>L20+R20+W20</f>
        <v>74.255456874999993</v>
      </c>
      <c r="Z20" s="454">
        <f t="shared" ref="Z20" si="18">Y20*$D20</f>
        <v>222.76637062499998</v>
      </c>
    </row>
    <row r="21" spans="1:26" ht="8.25" customHeight="1">
      <c r="H21" s="348"/>
      <c r="I21" s="39"/>
      <c r="J21" s="39"/>
      <c r="K21" s="40"/>
      <c r="L21" s="40"/>
      <c r="M21" s="40"/>
      <c r="N21" s="359"/>
      <c r="O21" s="40"/>
      <c r="P21" s="40"/>
      <c r="Q21" s="40"/>
      <c r="R21" s="40"/>
      <c r="S21" s="40"/>
      <c r="T21" s="40"/>
      <c r="U21" s="40"/>
      <c r="V21" s="40"/>
      <c r="W21" s="40"/>
      <c r="X21" s="40"/>
      <c r="Y21" s="424"/>
      <c r="Z21" s="424"/>
    </row>
    <row r="22" spans="1:26" ht="18.75">
      <c r="L22" s="43" t="s">
        <v>142</v>
      </c>
      <c r="M22" s="46">
        <f>SUM(M20)</f>
        <v>164.65340437499998</v>
      </c>
      <c r="N22" s="360"/>
      <c r="O22" s="45"/>
      <c r="P22" s="45"/>
      <c r="Q22" s="45"/>
      <c r="R22" s="45"/>
      <c r="S22" s="46">
        <f>SUM(S20)</f>
        <v>58.112966249999999</v>
      </c>
      <c r="T22" s="45"/>
      <c r="U22" s="45"/>
      <c r="V22" s="40"/>
      <c r="W22" s="45"/>
      <c r="X22" s="46">
        <f>SUM(X20)</f>
        <v>0</v>
      </c>
      <c r="Y22" s="425"/>
      <c r="Z22" s="426">
        <f>SUM(Z20:Z20)</f>
        <v>222.76637062499998</v>
      </c>
    </row>
    <row r="25" spans="1:26" ht="18.75">
      <c r="A25" s="522" t="str">
        <f>Base_Energy!A26</f>
        <v>College Ave (Area)</v>
      </c>
      <c r="B25" s="5"/>
      <c r="C25" s="5"/>
      <c r="D25" s="6"/>
      <c r="E25" s="7"/>
      <c r="F25" s="266"/>
      <c r="G25" s="266"/>
      <c r="H25" s="351"/>
      <c r="I25" s="158"/>
      <c r="J25" s="158"/>
      <c r="K25" s="7"/>
      <c r="L25" s="158"/>
      <c r="M25" s="158"/>
      <c r="N25" s="355"/>
      <c r="O25" s="158"/>
      <c r="P25" s="158"/>
      <c r="Q25" s="7"/>
      <c r="R25" s="158"/>
      <c r="S25" s="158"/>
      <c r="T25" s="158"/>
      <c r="U25" s="158"/>
      <c r="V25" s="158"/>
      <c r="W25" s="158"/>
      <c r="X25" s="158"/>
      <c r="Y25" s="179"/>
      <c r="Z25" s="421"/>
    </row>
    <row r="26" spans="1:26">
      <c r="A26" s="9"/>
      <c r="B26" s="10"/>
      <c r="C26" s="10"/>
      <c r="D26" s="11"/>
      <c r="E26" s="11"/>
      <c r="F26" s="267"/>
      <c r="G26" s="267"/>
      <c r="H26" s="563" t="s">
        <v>179</v>
      </c>
      <c r="I26" s="560"/>
      <c r="J26" s="560"/>
      <c r="K26" s="19">
        <v>0</v>
      </c>
      <c r="L26" s="418"/>
      <c r="M26" s="300"/>
      <c r="N26" s="564" t="s">
        <v>180</v>
      </c>
      <c r="O26" s="565"/>
      <c r="P26" s="565"/>
      <c r="Q26" s="19">
        <v>0</v>
      </c>
      <c r="R26" s="418"/>
      <c r="S26" s="300"/>
      <c r="T26" s="563" t="s">
        <v>181</v>
      </c>
      <c r="U26" s="560"/>
      <c r="V26" s="317">
        <v>0</v>
      </c>
      <c r="W26" s="418"/>
      <c r="X26" s="300"/>
      <c r="Y26" s="561" t="s">
        <v>182</v>
      </c>
      <c r="Z26" s="562"/>
    </row>
    <row r="27" spans="1:26" ht="18" customHeight="1">
      <c r="A27" s="15" t="s">
        <v>81</v>
      </c>
      <c r="B27" s="16" t="s">
        <v>82</v>
      </c>
      <c r="C27" s="16" t="s">
        <v>83</v>
      </c>
      <c r="D27" s="542" t="s">
        <v>84</v>
      </c>
      <c r="E27" s="542" t="s">
        <v>85</v>
      </c>
      <c r="F27" s="268" t="s">
        <v>183</v>
      </c>
      <c r="G27" s="268" t="s">
        <v>184</v>
      </c>
      <c r="H27" s="352" t="s">
        <v>185</v>
      </c>
      <c r="I27" s="542" t="s">
        <v>143</v>
      </c>
      <c r="J27" s="542" t="s">
        <v>125</v>
      </c>
      <c r="K27" s="299" t="s">
        <v>122</v>
      </c>
      <c r="L27" s="371" t="s">
        <v>186</v>
      </c>
      <c r="M27" s="301" t="s">
        <v>187</v>
      </c>
      <c r="N27" s="356" t="s">
        <v>185</v>
      </c>
      <c r="O27" s="305" t="s">
        <v>143</v>
      </c>
      <c r="P27" s="542" t="s">
        <v>125</v>
      </c>
      <c r="Q27" s="299" t="s">
        <v>122</v>
      </c>
      <c r="R27" s="371" t="s">
        <v>186</v>
      </c>
      <c r="S27" s="301" t="s">
        <v>187</v>
      </c>
      <c r="T27" s="540" t="s">
        <v>188</v>
      </c>
      <c r="U27" s="542" t="s">
        <v>125</v>
      </c>
      <c r="V27" s="298" t="s">
        <v>122</v>
      </c>
      <c r="W27" s="298" t="s">
        <v>186</v>
      </c>
      <c r="X27" s="323" t="s">
        <v>187</v>
      </c>
      <c r="Y27" s="451" t="s">
        <v>189</v>
      </c>
      <c r="Z27" s="452" t="s">
        <v>190</v>
      </c>
    </row>
    <row r="28" spans="1:26">
      <c r="A28" s="172" t="s">
        <v>88</v>
      </c>
      <c r="B28" s="171" t="s">
        <v>193</v>
      </c>
      <c r="C28" s="172" t="s">
        <v>194</v>
      </c>
      <c r="D28" s="83">
        <v>5</v>
      </c>
      <c r="E28" s="55"/>
      <c r="F28" s="271">
        <v>9000</v>
      </c>
      <c r="G28" s="291">
        <f>'OpHrs_Summary (Ref)'!$J$24</f>
        <v>4304.6641666666665</v>
      </c>
      <c r="H28" s="347">
        <f>G28/F28</f>
        <v>0.4782960185185185</v>
      </c>
      <c r="I28" s="330">
        <v>38</v>
      </c>
      <c r="J28" s="363">
        <f>172+87.5</f>
        <v>259.5</v>
      </c>
      <c r="K28" s="303">
        <f>J28*(1+$K$26)</f>
        <v>259.5</v>
      </c>
      <c r="L28" s="303">
        <f>(I28+K28)*H28</f>
        <v>142.29306550925926</v>
      </c>
      <c r="M28" s="304">
        <f>L28*$D28</f>
        <v>711.46532754629629</v>
      </c>
      <c r="N28" s="358">
        <f>G28/50000</f>
        <v>8.6093283333333326E-2</v>
      </c>
      <c r="O28" s="339">
        <v>55</v>
      </c>
      <c r="P28" s="339">
        <f>J28/2</f>
        <v>129.75</v>
      </c>
      <c r="Q28" s="303">
        <f>P28*(1+$Q$26)</f>
        <v>129.75</v>
      </c>
      <c r="R28" s="303">
        <f t="shared" ref="R28" si="19">(O28+Q28)*N28</f>
        <v>15.905734095833331</v>
      </c>
      <c r="S28" s="303">
        <f t="shared" ref="S28" si="20">R28*$D28</f>
        <v>79.528670479166664</v>
      </c>
      <c r="T28" s="332">
        <v>0</v>
      </c>
      <c r="U28" s="375">
        <f>J28/2</f>
        <v>129.75</v>
      </c>
      <c r="V28" s="314">
        <f>U28*(1+$V$4)</f>
        <v>129.75</v>
      </c>
      <c r="W28" s="314">
        <f>V28*T28</f>
        <v>0</v>
      </c>
      <c r="X28" s="314">
        <f t="shared" ref="X28" si="21">W28*$D28</f>
        <v>0</v>
      </c>
      <c r="Y28" s="453">
        <f>L28+R28+W28</f>
        <v>158.1987996050926</v>
      </c>
      <c r="Z28" s="454">
        <f t="shared" ref="Z28" si="22">Y28*$D28</f>
        <v>790.99399802546304</v>
      </c>
    </row>
    <row r="29" spans="1:26" ht="8.25" customHeight="1">
      <c r="H29" s="348"/>
      <c r="I29" s="39"/>
      <c r="J29" s="39"/>
      <c r="K29" s="40"/>
      <c r="L29" s="40"/>
      <c r="M29" s="40"/>
      <c r="N29" s="359"/>
      <c r="O29" s="40"/>
      <c r="P29" s="40"/>
      <c r="Q29" s="40"/>
      <c r="R29" s="40"/>
      <c r="S29" s="40"/>
      <c r="T29" s="40"/>
      <c r="U29" s="40"/>
      <c r="V29" s="40"/>
      <c r="W29" s="40"/>
      <c r="X29" s="40"/>
      <c r="Y29" s="424"/>
      <c r="Z29" s="424"/>
    </row>
    <row r="30" spans="1:26" ht="18.75">
      <c r="L30" s="43" t="s">
        <v>142</v>
      </c>
      <c r="M30" s="46">
        <f>SUM(M28)</f>
        <v>711.46532754629629</v>
      </c>
      <c r="N30" s="360"/>
      <c r="O30" s="45"/>
      <c r="P30" s="45"/>
      <c r="Q30" s="45"/>
      <c r="R30" s="45"/>
      <c r="S30" s="46">
        <f>SUM(S28)</f>
        <v>79.528670479166664</v>
      </c>
      <c r="T30" s="45"/>
      <c r="U30" s="45"/>
      <c r="V30" s="40"/>
      <c r="W30" s="45"/>
      <c r="X30" s="46">
        <f>SUM(X28)</f>
        <v>0</v>
      </c>
      <c r="Y30" s="425"/>
      <c r="Z30" s="426">
        <f>SUM(Z28:Z28)</f>
        <v>790.99399802546304</v>
      </c>
    </row>
    <row r="33" spans="1:26" ht="18.75">
      <c r="A33" s="518" t="str">
        <f>Base_Energy!A35</f>
        <v>College Ave (Decorative)</v>
      </c>
      <c r="B33" s="5"/>
      <c r="C33" s="5"/>
      <c r="D33" s="6"/>
      <c r="E33" s="7"/>
      <c r="F33" s="266"/>
      <c r="G33" s="266"/>
      <c r="H33" s="351"/>
      <c r="I33" s="158"/>
      <c r="J33" s="158"/>
      <c r="K33" s="7"/>
      <c r="L33" s="158"/>
      <c r="M33" s="158"/>
      <c r="N33" s="355"/>
      <c r="O33" s="158"/>
      <c r="P33" s="158"/>
      <c r="Q33" s="7"/>
      <c r="R33" s="158"/>
      <c r="S33" s="158"/>
      <c r="T33" s="158"/>
      <c r="U33" s="158"/>
      <c r="V33" s="158"/>
      <c r="W33" s="158"/>
      <c r="X33" s="158"/>
      <c r="Y33" s="179"/>
      <c r="Z33" s="421"/>
    </row>
    <row r="34" spans="1:26">
      <c r="A34" s="9"/>
      <c r="B34" s="10"/>
      <c r="C34" s="10"/>
      <c r="D34" s="11"/>
      <c r="E34" s="11"/>
      <c r="F34" s="267"/>
      <c r="G34" s="267"/>
      <c r="H34" s="563" t="s">
        <v>179</v>
      </c>
      <c r="I34" s="560"/>
      <c r="J34" s="560"/>
      <c r="K34" s="19">
        <v>0</v>
      </c>
      <c r="L34" s="418"/>
      <c r="M34" s="300"/>
      <c r="N34" s="564" t="s">
        <v>180</v>
      </c>
      <c r="O34" s="565"/>
      <c r="P34" s="565"/>
      <c r="Q34" s="19">
        <v>0</v>
      </c>
      <c r="R34" s="418"/>
      <c r="S34" s="300"/>
      <c r="T34" s="563" t="s">
        <v>181</v>
      </c>
      <c r="U34" s="560"/>
      <c r="V34" s="317">
        <v>0</v>
      </c>
      <c r="W34" s="418"/>
      <c r="X34" s="300"/>
      <c r="Y34" s="561" t="s">
        <v>182</v>
      </c>
      <c r="Z34" s="562"/>
    </row>
    <row r="35" spans="1:26">
      <c r="A35" s="15" t="s">
        <v>81</v>
      </c>
      <c r="B35" s="16" t="s">
        <v>82</v>
      </c>
      <c r="C35" s="16" t="s">
        <v>83</v>
      </c>
      <c r="D35" s="542" t="s">
        <v>84</v>
      </c>
      <c r="E35" s="542" t="s">
        <v>85</v>
      </c>
      <c r="F35" s="268" t="s">
        <v>183</v>
      </c>
      <c r="G35" s="268" t="s">
        <v>184</v>
      </c>
      <c r="H35" s="352" t="s">
        <v>185</v>
      </c>
      <c r="I35" s="542" t="s">
        <v>143</v>
      </c>
      <c r="J35" s="542" t="s">
        <v>125</v>
      </c>
      <c r="K35" s="299" t="s">
        <v>122</v>
      </c>
      <c r="L35" s="371" t="s">
        <v>186</v>
      </c>
      <c r="M35" s="301" t="s">
        <v>187</v>
      </c>
      <c r="N35" s="356" t="s">
        <v>185</v>
      </c>
      <c r="O35" s="305" t="s">
        <v>143</v>
      </c>
      <c r="P35" s="542" t="s">
        <v>125</v>
      </c>
      <c r="Q35" s="299" t="s">
        <v>122</v>
      </c>
      <c r="R35" s="371" t="s">
        <v>186</v>
      </c>
      <c r="S35" s="301" t="s">
        <v>187</v>
      </c>
      <c r="T35" s="540" t="s">
        <v>188</v>
      </c>
      <c r="U35" s="542" t="s">
        <v>125</v>
      </c>
      <c r="V35" s="298" t="s">
        <v>122</v>
      </c>
      <c r="W35" s="298" t="s">
        <v>186</v>
      </c>
      <c r="X35" s="323" t="s">
        <v>187</v>
      </c>
      <c r="Y35" s="450" t="s">
        <v>189</v>
      </c>
      <c r="Z35" s="401" t="s">
        <v>190</v>
      </c>
    </row>
    <row r="36" spans="1:26">
      <c r="A36" s="170" t="s">
        <v>195</v>
      </c>
      <c r="B36" s="171" t="s">
        <v>89</v>
      </c>
      <c r="C36" s="172" t="s">
        <v>196</v>
      </c>
      <c r="D36" s="83">
        <v>10</v>
      </c>
      <c r="E36" s="51" t="s">
        <v>117</v>
      </c>
      <c r="F36" s="271">
        <v>10000</v>
      </c>
      <c r="G36" s="291">
        <f>'OpHrs_Summary (Ref)'!$J$24</f>
        <v>4304.6641666666665</v>
      </c>
      <c r="H36" s="347">
        <f>G36/F36</f>
        <v>0.43046641666666663</v>
      </c>
      <c r="I36" s="330">
        <f>38*2</f>
        <v>76</v>
      </c>
      <c r="J36" s="339">
        <f>115*2</f>
        <v>230</v>
      </c>
      <c r="K36" s="303">
        <f>J36*(1+$K$34)</f>
        <v>230</v>
      </c>
      <c r="L36" s="303">
        <f>(I36+K36)*H36</f>
        <v>131.7227235</v>
      </c>
      <c r="M36" s="304">
        <f>L36*$D36</f>
        <v>1317.2272350000001</v>
      </c>
      <c r="N36" s="358">
        <f>G36/50000</f>
        <v>8.6093283333333326E-2</v>
      </c>
      <c r="O36" s="339">
        <f>55*2</f>
        <v>110</v>
      </c>
      <c r="P36" s="339">
        <f>J36/2</f>
        <v>115</v>
      </c>
      <c r="Q36" s="303">
        <f>P36*(1+$Q$34)</f>
        <v>115</v>
      </c>
      <c r="R36" s="303">
        <f t="shared" ref="R36" si="23">(O36+Q36)*N36</f>
        <v>19.370988749999999</v>
      </c>
      <c r="S36" s="303">
        <f t="shared" ref="S36" si="24">R36*$D36</f>
        <v>193.70988749999998</v>
      </c>
      <c r="T36" s="332">
        <v>0</v>
      </c>
      <c r="U36" s="375">
        <f>J36/2</f>
        <v>115</v>
      </c>
      <c r="V36" s="314">
        <f>U36*(1+$V$4)</f>
        <v>115</v>
      </c>
      <c r="W36" s="314">
        <f>V36*T36</f>
        <v>0</v>
      </c>
      <c r="X36" s="316">
        <f t="shared" ref="X36" si="25">W36*$D36</f>
        <v>0</v>
      </c>
      <c r="Y36" s="453">
        <f>L36+R36+W36</f>
        <v>151.09371225000001</v>
      </c>
      <c r="Z36" s="454">
        <f t="shared" ref="Z36" si="26">Y36*$D36</f>
        <v>1510.9371225</v>
      </c>
    </row>
    <row r="37" spans="1:26" ht="8.25" customHeight="1">
      <c r="H37" s="348"/>
      <c r="I37" s="39"/>
      <c r="J37" s="39"/>
      <c r="K37" s="40"/>
      <c r="L37" s="40"/>
      <c r="M37" s="40"/>
      <c r="N37" s="359"/>
      <c r="O37" s="40"/>
      <c r="P37" s="40"/>
      <c r="Q37" s="40"/>
      <c r="R37" s="40"/>
      <c r="S37" s="40"/>
      <c r="T37" s="40"/>
      <c r="U37" s="40"/>
      <c r="V37" s="40"/>
      <c r="W37" s="40"/>
      <c r="X37" s="40"/>
      <c r="Y37" s="424"/>
      <c r="Z37" s="424"/>
    </row>
    <row r="38" spans="1:26" ht="18.75">
      <c r="L38" s="43" t="s">
        <v>142</v>
      </c>
      <c r="M38" s="46">
        <f>SUM(M36)</f>
        <v>1317.2272350000001</v>
      </c>
      <c r="N38" s="360"/>
      <c r="O38" s="45"/>
      <c r="P38" s="45"/>
      <c r="Q38" s="45"/>
      <c r="R38" s="45"/>
      <c r="S38" s="46">
        <f>SUM(S36)</f>
        <v>193.70988749999998</v>
      </c>
      <c r="T38" s="45"/>
      <c r="U38" s="45"/>
      <c r="V38" s="40"/>
      <c r="W38" s="45"/>
      <c r="X38" s="46">
        <f>SUM(X36)</f>
        <v>0</v>
      </c>
      <c r="Y38" s="425"/>
      <c r="Z38" s="426">
        <f>SUM(Z36:Z36)</f>
        <v>1510.9371225</v>
      </c>
    </row>
    <row r="41" spans="1:26" ht="8.25" customHeight="1"/>
  </sheetData>
  <mergeCells count="16">
    <mergeCell ref="Y34:Z34"/>
    <mergeCell ref="Y4:Z4"/>
    <mergeCell ref="Y18:Z18"/>
    <mergeCell ref="Y26:Z26"/>
    <mergeCell ref="H26:J26"/>
    <mergeCell ref="N26:P26"/>
    <mergeCell ref="T26:U26"/>
    <mergeCell ref="H34:J34"/>
    <mergeCell ref="N34:P34"/>
    <mergeCell ref="T34:U34"/>
    <mergeCell ref="N4:P4"/>
    <mergeCell ref="H4:J4"/>
    <mergeCell ref="T4:U4"/>
    <mergeCell ref="H18:J18"/>
    <mergeCell ref="N18:P18"/>
    <mergeCell ref="T18:U18"/>
  </mergeCells>
  <hyperlinks>
    <hyperlink ref="A8" r:id="rId1" xr:uid="{A342BDAC-CA44-48F3-83CC-913F6E1C5822}"/>
    <hyperlink ref="A20" r:id="rId2" xr:uid="{0956A6C3-7260-4CB0-94B7-2AF9D60A5AA6}"/>
    <hyperlink ref="A36" r:id="rId3" xr:uid="{0FC8FB30-1345-444E-9B6D-4C914A542637}"/>
  </hyperlinks>
  <pageMargins left="0.7" right="0.7" top="0.75" bottom="0.75" header="0.3" footer="0.3"/>
  <pageSetup orientation="portrait" r:id="rId4"/>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04B08-00E0-46DF-A400-A21D4F938DAF}">
  <sheetPr codeName="Sheet8">
    <tabColor theme="7" tint="0.79998168889431442"/>
  </sheetPr>
  <dimension ref="A1:AD42"/>
  <sheetViews>
    <sheetView topLeftCell="A17" zoomScaleNormal="100" workbookViewId="0">
      <selection activeCell="T5" sqref="T5"/>
    </sheetView>
  </sheetViews>
  <sheetFormatPr defaultRowHeight="15"/>
  <cols>
    <col min="1" max="1" width="24.85546875" customWidth="1"/>
    <col min="2" max="2" width="13.85546875" customWidth="1"/>
    <col min="3" max="3" width="32.7109375" customWidth="1"/>
    <col min="4" max="4" width="9.85546875" style="38" customWidth="1"/>
    <col min="5" max="5" width="32.7109375" customWidth="1"/>
    <col min="6" max="6" width="19.7109375" style="81" customWidth="1"/>
    <col min="7" max="7" width="19.5703125" style="280" customWidth="1"/>
    <col min="8" max="8" width="12.7109375" style="81" customWidth="1"/>
    <col min="9" max="13" width="15.7109375" customWidth="1"/>
    <col min="14" max="14" width="12.7109375" style="81" customWidth="1"/>
    <col min="15" max="19" width="15.7109375" customWidth="1"/>
    <col min="20" max="20" width="12.7109375" style="445" customWidth="1"/>
    <col min="21" max="21" width="15.7109375" style="225" customWidth="1"/>
    <col min="22" max="26" width="15.7109375" customWidth="1"/>
  </cols>
  <sheetData>
    <row r="1" spans="1:30" ht="38.25" customHeight="1">
      <c r="A1" s="209" t="s">
        <v>197</v>
      </c>
      <c r="B1" s="209"/>
      <c r="C1" s="209"/>
      <c r="D1" s="209"/>
      <c r="E1" s="209"/>
      <c r="F1" s="344"/>
      <c r="G1" s="345"/>
      <c r="H1" s="344"/>
      <c r="I1" s="209"/>
      <c r="J1" s="209"/>
      <c r="K1" s="209"/>
      <c r="L1" s="209"/>
      <c r="M1" s="209"/>
      <c r="N1" s="344"/>
      <c r="O1" s="209"/>
      <c r="P1" s="209"/>
      <c r="Q1" s="209"/>
      <c r="R1" s="209"/>
      <c r="S1" s="209"/>
      <c r="T1" s="439"/>
      <c r="U1" s="346"/>
      <c r="V1" s="209"/>
      <c r="W1" s="209"/>
      <c r="X1" s="209"/>
      <c r="Y1" s="209"/>
      <c r="Z1" s="209"/>
      <c r="AD1" s="1"/>
    </row>
    <row r="2" spans="1:30">
      <c r="A2" s="2"/>
      <c r="B2" s="3"/>
      <c r="C2" s="3"/>
      <c r="D2" s="3"/>
      <c r="E2" s="3"/>
      <c r="F2" s="265"/>
      <c r="G2" s="276"/>
      <c r="H2" s="265"/>
      <c r="I2" s="3"/>
      <c r="J2" s="3"/>
      <c r="K2" s="3"/>
      <c r="L2" s="3"/>
      <c r="M2" s="3"/>
      <c r="N2" s="265"/>
      <c r="O2" s="3"/>
      <c r="P2" s="3"/>
      <c r="Q2" s="3"/>
      <c r="R2" s="3"/>
      <c r="S2" s="3"/>
      <c r="T2" s="440"/>
      <c r="U2" s="223"/>
      <c r="V2" s="3"/>
      <c r="W2" s="3"/>
      <c r="X2" s="3"/>
      <c r="Y2" s="3"/>
      <c r="Z2" s="3"/>
      <c r="AD2" s="1"/>
    </row>
    <row r="3" spans="1:30" ht="18.75">
      <c r="A3" s="530" t="str">
        <f>Maint_Base!A3</f>
        <v>Model High School</v>
      </c>
      <c r="B3" s="5"/>
      <c r="C3" s="5"/>
      <c r="D3" s="6"/>
      <c r="E3" s="7"/>
      <c r="F3" s="266"/>
      <c r="G3" s="277"/>
      <c r="H3" s="351"/>
      <c r="I3" s="158"/>
      <c r="J3" s="158"/>
      <c r="K3" s="158"/>
      <c r="L3" s="158"/>
      <c r="M3" s="158"/>
      <c r="N3" s="355"/>
      <c r="O3" s="158"/>
      <c r="P3" s="158"/>
      <c r="Q3" s="7"/>
      <c r="R3" s="158"/>
      <c r="S3" s="158"/>
      <c r="T3" s="441"/>
      <c r="U3" s="158"/>
      <c r="V3" s="158"/>
      <c r="W3" s="7"/>
      <c r="X3" s="158"/>
      <c r="Y3" s="179"/>
      <c r="Z3" s="428"/>
    </row>
    <row r="4" spans="1:30">
      <c r="A4" s="9"/>
      <c r="B4" s="10"/>
      <c r="C4" s="10"/>
      <c r="D4" s="11"/>
      <c r="E4" s="11"/>
      <c r="F4" s="267"/>
      <c r="G4" s="278"/>
      <c r="H4" s="563" t="s">
        <v>198</v>
      </c>
      <c r="I4" s="560"/>
      <c r="J4" s="560"/>
      <c r="K4" s="317">
        <v>0</v>
      </c>
      <c r="L4" s="418"/>
      <c r="M4" s="300"/>
      <c r="N4" s="565" t="s">
        <v>199</v>
      </c>
      <c r="O4" s="565"/>
      <c r="P4" s="565"/>
      <c r="Q4" s="19">
        <v>0</v>
      </c>
      <c r="R4" s="418"/>
      <c r="S4" s="300"/>
      <c r="T4" s="563" t="s">
        <v>200</v>
      </c>
      <c r="U4" s="560"/>
      <c r="V4" s="317">
        <v>0</v>
      </c>
      <c r="W4" s="297"/>
      <c r="X4" s="299"/>
      <c r="Y4" s="561" t="s">
        <v>182</v>
      </c>
      <c r="Z4" s="562"/>
    </row>
    <row r="5" spans="1:30">
      <c r="A5" s="15" t="s">
        <v>81</v>
      </c>
      <c r="B5" s="16" t="s">
        <v>82</v>
      </c>
      <c r="C5" s="16" t="s">
        <v>83</v>
      </c>
      <c r="D5" s="542" t="s">
        <v>84</v>
      </c>
      <c r="E5" s="542" t="s">
        <v>85</v>
      </c>
      <c r="F5" s="268" t="s">
        <v>183</v>
      </c>
      <c r="G5" s="279" t="s">
        <v>184</v>
      </c>
      <c r="H5" s="352" t="s">
        <v>185</v>
      </c>
      <c r="I5" s="542" t="s">
        <v>143</v>
      </c>
      <c r="J5" s="542" t="s">
        <v>125</v>
      </c>
      <c r="K5" s="299" t="s">
        <v>122</v>
      </c>
      <c r="L5" s="371" t="s">
        <v>186</v>
      </c>
      <c r="M5" s="417" t="s">
        <v>187</v>
      </c>
      <c r="N5" s="356" t="s">
        <v>185</v>
      </c>
      <c r="O5" s="305" t="s">
        <v>143</v>
      </c>
      <c r="P5" s="542" t="s">
        <v>125</v>
      </c>
      <c r="Q5" s="299" t="s">
        <v>122</v>
      </c>
      <c r="R5" s="371" t="s">
        <v>186</v>
      </c>
      <c r="S5" s="301" t="s">
        <v>187</v>
      </c>
      <c r="T5" s="540" t="s">
        <v>188</v>
      </c>
      <c r="U5" s="542" t="s">
        <v>125</v>
      </c>
      <c r="V5" s="298" t="s">
        <v>122</v>
      </c>
      <c r="W5" s="298" t="s">
        <v>186</v>
      </c>
      <c r="X5" s="427" t="s">
        <v>187</v>
      </c>
      <c r="Y5" s="450" t="s">
        <v>189</v>
      </c>
      <c r="Z5" s="401" t="s">
        <v>190</v>
      </c>
    </row>
    <row r="6" spans="1:30">
      <c r="A6" s="21" t="s">
        <v>112</v>
      </c>
      <c r="B6" t="s">
        <v>107</v>
      </c>
      <c r="C6" s="21" t="s">
        <v>129</v>
      </c>
      <c r="D6" s="22">
        <v>18</v>
      </c>
      <c r="E6" s="21"/>
      <c r="F6" s="269">
        <v>50000</v>
      </c>
      <c r="G6" s="306">
        <f>'OpHrs_Summary (Ref)'!$J$24</f>
        <v>4304.6641666666665</v>
      </c>
      <c r="H6" s="331">
        <f>(Dashboard!$D$29)/Dashboard!$D$6</f>
        <v>5.0000000000000001E-4</v>
      </c>
      <c r="I6" s="329">
        <f>Capital_R1!K6</f>
        <v>966.83104979999985</v>
      </c>
      <c r="J6" s="481">
        <v>115</v>
      </c>
      <c r="K6" s="24">
        <f t="shared" ref="K6:K12" si="0">J6*(1+$K$4)</f>
        <v>115</v>
      </c>
      <c r="L6" s="24">
        <f t="shared" ref="L6:L12" si="1">(I6+K6)*H6</f>
        <v>0.54091552489999994</v>
      </c>
      <c r="M6" s="302">
        <f t="shared" ref="M6:M12" si="2">L6*$D6</f>
        <v>9.736479448199999</v>
      </c>
      <c r="N6" s="357">
        <f>((F6/1000)*(Dashboard!$D$30))/Dashboard!$D$6</f>
        <v>5.0000000000000001E-3</v>
      </c>
      <c r="O6" s="161">
        <v>85</v>
      </c>
      <c r="P6" s="481">
        <v>115</v>
      </c>
      <c r="Q6" s="24">
        <f t="shared" ref="Q6:Q12" si="3">P6*(1+$K$4)</f>
        <v>115</v>
      </c>
      <c r="R6" s="24">
        <f t="shared" ref="R6:R12" si="4">(O6+Q6)*N6</f>
        <v>1</v>
      </c>
      <c r="S6" s="24">
        <f t="shared" ref="S6:S12" si="5">R6*$D6</f>
        <v>18</v>
      </c>
      <c r="T6" s="362">
        <v>0</v>
      </c>
      <c r="U6" s="481">
        <v>115</v>
      </c>
      <c r="V6" s="370">
        <f t="shared" ref="V6:V12" si="6">U6*(1+$K$4)</f>
        <v>115</v>
      </c>
      <c r="W6" s="370">
        <f>(U6+V6)*T6</f>
        <v>0</v>
      </c>
      <c r="X6" s="370">
        <f t="shared" ref="X6:X12" si="7">W6*$D6</f>
        <v>0</v>
      </c>
      <c r="Y6" s="432">
        <f t="shared" ref="Y6:Y12" si="8">L6+R6+W6</f>
        <v>1.5409155248999999</v>
      </c>
      <c r="Z6" s="433">
        <f t="shared" ref="Z6:Z12" si="9">Y6*$D6</f>
        <v>27.736479448200001</v>
      </c>
    </row>
    <row r="7" spans="1:30">
      <c r="A7" s="21" t="s">
        <v>130</v>
      </c>
      <c r="B7" t="s">
        <v>107</v>
      </c>
      <c r="C7" s="21" t="s">
        <v>129</v>
      </c>
      <c r="D7" s="22">
        <v>4</v>
      </c>
      <c r="E7" s="21"/>
      <c r="F7" s="269">
        <v>50000</v>
      </c>
      <c r="G7" s="307">
        <f>'OpHrs_Summary (Ref)'!$J$24</f>
        <v>4304.6641666666665</v>
      </c>
      <c r="H7" s="331">
        <f>(Dashboard!$D$29)/Dashboard!$D$6</f>
        <v>5.0000000000000001E-4</v>
      </c>
      <c r="I7" s="329">
        <f>Capital_R1!K7</f>
        <v>966.83104979999985</v>
      </c>
      <c r="J7" s="383">
        <v>172</v>
      </c>
      <c r="K7" s="24">
        <f t="shared" si="0"/>
        <v>172</v>
      </c>
      <c r="L7" s="24">
        <f t="shared" si="1"/>
        <v>0.56941552489999991</v>
      </c>
      <c r="M7" s="302">
        <f t="shared" si="2"/>
        <v>2.2776620995999997</v>
      </c>
      <c r="N7" s="357">
        <f>((F7/1000)*(Dashboard!$D$30))/Dashboard!$D$6</f>
        <v>5.0000000000000001E-3</v>
      </c>
      <c r="O7" s="161">
        <v>85</v>
      </c>
      <c r="P7" s="383">
        <v>172</v>
      </c>
      <c r="Q7" s="24">
        <f t="shared" si="3"/>
        <v>172</v>
      </c>
      <c r="R7" s="24">
        <f t="shared" si="4"/>
        <v>1.2849999999999999</v>
      </c>
      <c r="S7" s="24">
        <f t="shared" si="5"/>
        <v>5.14</v>
      </c>
      <c r="T7" s="331">
        <v>0</v>
      </c>
      <c r="U7" s="383">
        <v>172</v>
      </c>
      <c r="V7" s="24">
        <f t="shared" si="6"/>
        <v>172</v>
      </c>
      <c r="W7" s="24">
        <f t="shared" ref="W7:W12" si="10">(U7+V7)*T7</f>
        <v>0</v>
      </c>
      <c r="X7" s="24">
        <f t="shared" si="7"/>
        <v>0</v>
      </c>
      <c r="Y7" s="434">
        <f t="shared" si="8"/>
        <v>1.8544155248999998</v>
      </c>
      <c r="Z7" s="422">
        <f t="shared" si="9"/>
        <v>7.4176620995999993</v>
      </c>
    </row>
    <row r="8" spans="1:30">
      <c r="A8" s="27" t="s">
        <v>131</v>
      </c>
      <c r="B8" t="s">
        <v>107</v>
      </c>
      <c r="C8" s="21" t="s">
        <v>129</v>
      </c>
      <c r="D8" s="22">
        <v>10</v>
      </c>
      <c r="E8" s="28" t="s">
        <v>93</v>
      </c>
      <c r="F8" s="269">
        <v>50000</v>
      </c>
      <c r="G8" s="307">
        <f>'OpHrs_Summary (Ref)'!$J$24</f>
        <v>4304.6641666666665</v>
      </c>
      <c r="H8" s="331">
        <f>(Dashboard!$D$29)/Dashboard!$D$6</f>
        <v>5.0000000000000001E-4</v>
      </c>
      <c r="I8" s="329">
        <f>Capital_R1!K8</f>
        <v>1933.6680363599996</v>
      </c>
      <c r="J8" s="383">
        <f>172*2</f>
        <v>344</v>
      </c>
      <c r="K8" s="24">
        <f t="shared" si="0"/>
        <v>344</v>
      </c>
      <c r="L8" s="24">
        <f t="shared" si="1"/>
        <v>1.1388340181799999</v>
      </c>
      <c r="M8" s="302">
        <f t="shared" si="2"/>
        <v>11.388340181799999</v>
      </c>
      <c r="N8" s="357">
        <f>((F8/1000)*(Dashboard!$D$30))/Dashboard!$D$6</f>
        <v>5.0000000000000001E-3</v>
      </c>
      <c r="O8" s="161">
        <f>85*2</f>
        <v>170</v>
      </c>
      <c r="P8" s="383">
        <f>172*2</f>
        <v>344</v>
      </c>
      <c r="Q8" s="24">
        <f t="shared" si="3"/>
        <v>344</v>
      </c>
      <c r="R8" s="24">
        <f t="shared" si="4"/>
        <v>2.57</v>
      </c>
      <c r="S8" s="24">
        <f t="shared" si="5"/>
        <v>25.7</v>
      </c>
      <c r="T8" s="331">
        <v>0</v>
      </c>
      <c r="U8" s="383">
        <f>172*2</f>
        <v>344</v>
      </c>
      <c r="V8" s="24">
        <f t="shared" si="6"/>
        <v>344</v>
      </c>
      <c r="W8" s="24">
        <f t="shared" si="10"/>
        <v>0</v>
      </c>
      <c r="X8" s="24">
        <f t="shared" si="7"/>
        <v>0</v>
      </c>
      <c r="Y8" s="434">
        <f t="shared" si="8"/>
        <v>3.7088340181799997</v>
      </c>
      <c r="Z8" s="422">
        <f t="shared" si="9"/>
        <v>37.0883401818</v>
      </c>
    </row>
    <row r="9" spans="1:30">
      <c r="A9" s="21" t="s">
        <v>132</v>
      </c>
      <c r="B9" t="s">
        <v>107</v>
      </c>
      <c r="C9" s="29" t="s">
        <v>133</v>
      </c>
      <c r="D9" s="22">
        <v>16</v>
      </c>
      <c r="E9" s="21"/>
      <c r="F9" s="269">
        <v>50000</v>
      </c>
      <c r="G9" s="307">
        <f>'OpHrs_Summary (Ref)'!$J$24</f>
        <v>4304.6641666666665</v>
      </c>
      <c r="H9" s="331">
        <f>(Dashboard!$D$29)/Dashboard!$D$6</f>
        <v>5.0000000000000001E-4</v>
      </c>
      <c r="I9" s="329">
        <f>Capital_R1!K9</f>
        <v>1043.5636727999997</v>
      </c>
      <c r="J9" s="383">
        <v>90</v>
      </c>
      <c r="K9" s="24">
        <f t="shared" si="0"/>
        <v>90</v>
      </c>
      <c r="L9" s="24">
        <f t="shared" si="1"/>
        <v>0.56678183639999991</v>
      </c>
      <c r="M9" s="302">
        <f t="shared" si="2"/>
        <v>9.0685093823999985</v>
      </c>
      <c r="N9" s="357">
        <f>((F9/1000)*(Dashboard!$D$30))/Dashboard!$D$6</f>
        <v>5.0000000000000001E-3</v>
      </c>
      <c r="O9" s="161">
        <v>85</v>
      </c>
      <c r="P9" s="383">
        <v>90</v>
      </c>
      <c r="Q9" s="24">
        <f t="shared" si="3"/>
        <v>90</v>
      </c>
      <c r="R9" s="24">
        <f t="shared" si="4"/>
        <v>0.875</v>
      </c>
      <c r="S9" s="24">
        <f t="shared" si="5"/>
        <v>14</v>
      </c>
      <c r="T9" s="331">
        <v>0</v>
      </c>
      <c r="U9" s="383">
        <v>90</v>
      </c>
      <c r="V9" s="24">
        <f t="shared" si="6"/>
        <v>90</v>
      </c>
      <c r="W9" s="24">
        <f t="shared" si="10"/>
        <v>0</v>
      </c>
      <c r="X9" s="24">
        <f t="shared" si="7"/>
        <v>0</v>
      </c>
      <c r="Y9" s="434">
        <f t="shared" si="8"/>
        <v>1.4417818363999999</v>
      </c>
      <c r="Z9" s="422">
        <f t="shared" si="9"/>
        <v>23.068509382399998</v>
      </c>
    </row>
    <row r="10" spans="1:30">
      <c r="A10" s="21" t="s">
        <v>134</v>
      </c>
      <c r="B10" t="s">
        <v>135</v>
      </c>
      <c r="C10" s="29" t="s">
        <v>136</v>
      </c>
      <c r="D10" s="22">
        <v>19</v>
      </c>
      <c r="E10" s="21"/>
      <c r="F10" s="269">
        <v>50000</v>
      </c>
      <c r="G10" s="307">
        <f>'OpHrs_Summary (Ref)'!$J$24</f>
        <v>4304.6641666666665</v>
      </c>
      <c r="H10" s="331">
        <f>(Dashboard!$D$29)/Dashboard!$D$6</f>
        <v>5.0000000000000001E-4</v>
      </c>
      <c r="I10" s="329">
        <f>Capital_R1!K10</f>
        <v>241.92296999999994</v>
      </c>
      <c r="J10" s="383">
        <f>90</f>
        <v>90</v>
      </c>
      <c r="K10" s="24">
        <f t="shared" si="0"/>
        <v>90</v>
      </c>
      <c r="L10" s="24">
        <f t="shared" si="1"/>
        <v>0.16596148499999999</v>
      </c>
      <c r="M10" s="302">
        <f t="shared" si="2"/>
        <v>3.1532682149999998</v>
      </c>
      <c r="N10" s="357">
        <f>((F10/1000)*(Dashboard!$D$30))/Dashboard!$D$6</f>
        <v>5.0000000000000001E-3</v>
      </c>
      <c r="O10" s="161">
        <v>85</v>
      </c>
      <c r="P10" s="383">
        <f>90</f>
        <v>90</v>
      </c>
      <c r="Q10" s="24">
        <f t="shared" si="3"/>
        <v>90</v>
      </c>
      <c r="R10" s="24">
        <f t="shared" si="4"/>
        <v>0.875</v>
      </c>
      <c r="S10" s="24">
        <f t="shared" si="5"/>
        <v>16.625</v>
      </c>
      <c r="T10" s="331">
        <v>0</v>
      </c>
      <c r="U10" s="383">
        <f>90</f>
        <v>90</v>
      </c>
      <c r="V10" s="24">
        <f t="shared" si="6"/>
        <v>90</v>
      </c>
      <c r="W10" s="24">
        <f t="shared" si="10"/>
        <v>0</v>
      </c>
      <c r="X10" s="24">
        <f t="shared" si="7"/>
        <v>0</v>
      </c>
      <c r="Y10" s="434">
        <f t="shared" si="8"/>
        <v>1.040961485</v>
      </c>
      <c r="Z10" s="422">
        <f t="shared" si="9"/>
        <v>19.778268215000001</v>
      </c>
    </row>
    <row r="11" spans="1:30">
      <c r="A11" s="21" t="s">
        <v>137</v>
      </c>
      <c r="B11" t="s">
        <v>135</v>
      </c>
      <c r="C11" s="29" t="s">
        <v>138</v>
      </c>
      <c r="D11" s="22">
        <v>1</v>
      </c>
      <c r="E11" s="28"/>
      <c r="F11" s="269">
        <v>50000</v>
      </c>
      <c r="G11" s="307">
        <f>'OpHrs_Summary (Ref)'!$J$24</f>
        <v>4304.6641666666665</v>
      </c>
      <c r="H11" s="331">
        <f>(Dashboard!$D$29)/Dashboard!$D$6</f>
        <v>5.0000000000000001E-4</v>
      </c>
      <c r="I11" s="329">
        <f>Capital_R1!K11</f>
        <v>200.36564999999996</v>
      </c>
      <c r="J11" s="383">
        <v>90</v>
      </c>
      <c r="K11" s="24">
        <f t="shared" si="0"/>
        <v>90</v>
      </c>
      <c r="L11" s="24">
        <f t="shared" si="1"/>
        <v>0.14518282499999999</v>
      </c>
      <c r="M11" s="302">
        <f t="shared" si="2"/>
        <v>0.14518282499999999</v>
      </c>
      <c r="N11" s="357">
        <f>((F11/1000)*(Dashboard!$D$30))/Dashboard!$D$6</f>
        <v>5.0000000000000001E-3</v>
      </c>
      <c r="O11" s="161">
        <v>85</v>
      </c>
      <c r="P11" s="383">
        <v>90</v>
      </c>
      <c r="Q11" s="24">
        <f t="shared" si="3"/>
        <v>90</v>
      </c>
      <c r="R11" s="24">
        <f t="shared" si="4"/>
        <v>0.875</v>
      </c>
      <c r="S11" s="24">
        <f t="shared" si="5"/>
        <v>0.875</v>
      </c>
      <c r="T11" s="331">
        <v>0</v>
      </c>
      <c r="U11" s="383">
        <v>90</v>
      </c>
      <c r="V11" s="24">
        <f t="shared" si="6"/>
        <v>90</v>
      </c>
      <c r="W11" s="24">
        <f t="shared" si="10"/>
        <v>0</v>
      </c>
      <c r="X11" s="24">
        <f t="shared" si="7"/>
        <v>0</v>
      </c>
      <c r="Y11" s="434">
        <f t="shared" si="8"/>
        <v>1.020182825</v>
      </c>
      <c r="Z11" s="422">
        <f t="shared" si="9"/>
        <v>1.020182825</v>
      </c>
    </row>
    <row r="12" spans="1:30">
      <c r="A12" s="30" t="s">
        <v>139</v>
      </c>
      <c r="B12" s="31" t="s">
        <v>140</v>
      </c>
      <c r="C12" s="30" t="s">
        <v>141</v>
      </c>
      <c r="D12" s="32">
        <v>6</v>
      </c>
      <c r="E12" s="30"/>
      <c r="F12" s="270">
        <v>50000</v>
      </c>
      <c r="G12" s="308">
        <f>'OpHrs_Summary (Ref)'!$J$24</f>
        <v>4304.6641666666665</v>
      </c>
      <c r="H12" s="347">
        <f>(Dashboard!$D$29)/Dashboard!$D$6</f>
        <v>5.0000000000000001E-4</v>
      </c>
      <c r="I12" s="330">
        <f>Capital_R1!K12</f>
        <v>1234.8460799999998</v>
      </c>
      <c r="J12" s="482">
        <f>135*1.5</f>
        <v>202.5</v>
      </c>
      <c r="K12" s="303">
        <f t="shared" si="0"/>
        <v>202.5</v>
      </c>
      <c r="L12" s="303">
        <f t="shared" si="1"/>
        <v>0.71867303999999987</v>
      </c>
      <c r="M12" s="304">
        <f t="shared" si="2"/>
        <v>4.3120382399999997</v>
      </c>
      <c r="N12" s="358">
        <f>((F12/1000)*(Dashboard!$D$30))/Dashboard!$D$6</f>
        <v>5.0000000000000001E-3</v>
      </c>
      <c r="O12" s="339">
        <v>85</v>
      </c>
      <c r="P12" s="482">
        <f>135*1.5</f>
        <v>202.5</v>
      </c>
      <c r="Q12" s="303">
        <f t="shared" si="3"/>
        <v>202.5</v>
      </c>
      <c r="R12" s="303">
        <f t="shared" si="4"/>
        <v>1.4375</v>
      </c>
      <c r="S12" s="303">
        <f t="shared" si="5"/>
        <v>8.625</v>
      </c>
      <c r="T12" s="331">
        <v>0</v>
      </c>
      <c r="U12" s="482">
        <f>135*1.5</f>
        <v>202.5</v>
      </c>
      <c r="V12" s="24">
        <f t="shared" si="6"/>
        <v>202.5</v>
      </c>
      <c r="W12" s="24">
        <f t="shared" si="10"/>
        <v>0</v>
      </c>
      <c r="X12" s="24">
        <f t="shared" si="7"/>
        <v>0</v>
      </c>
      <c r="Y12" s="434">
        <f t="shared" si="8"/>
        <v>2.1561730399999997</v>
      </c>
      <c r="Z12" s="422">
        <f t="shared" si="9"/>
        <v>12.937038239999998</v>
      </c>
    </row>
    <row r="13" spans="1:30">
      <c r="A13" s="30" t="s">
        <v>109</v>
      </c>
      <c r="B13" s="31" t="s">
        <v>110</v>
      </c>
      <c r="C13" s="30"/>
      <c r="D13" s="32">
        <v>1</v>
      </c>
      <c r="E13" s="30"/>
      <c r="F13" s="174"/>
      <c r="G13" s="311"/>
      <c r="H13" s="366"/>
      <c r="I13" s="367"/>
      <c r="J13" s="368"/>
      <c r="K13" s="303"/>
      <c r="L13" s="303"/>
      <c r="M13" s="304"/>
      <c r="N13" s="363"/>
      <c r="O13" s="328"/>
      <c r="P13" s="328"/>
      <c r="Q13" s="314"/>
      <c r="R13" s="314"/>
      <c r="S13" s="314"/>
      <c r="T13" s="442"/>
      <c r="U13" s="222"/>
      <c r="V13" s="314"/>
      <c r="W13" s="314"/>
      <c r="X13" s="314"/>
      <c r="Y13" s="376"/>
      <c r="Z13" s="313"/>
    </row>
    <row r="14" spans="1:30" ht="8.25" customHeight="1">
      <c r="H14" s="39"/>
      <c r="I14" s="39"/>
      <c r="J14" s="40"/>
      <c r="K14" s="40"/>
      <c r="L14" s="40"/>
      <c r="M14" s="40"/>
      <c r="N14" s="364"/>
      <c r="O14" s="40"/>
      <c r="P14" s="40"/>
      <c r="Q14" s="40"/>
      <c r="R14" s="40"/>
      <c r="S14" s="40"/>
      <c r="T14" s="443"/>
      <c r="U14" s="224"/>
      <c r="V14" s="40"/>
      <c r="W14" s="40"/>
      <c r="X14" s="40"/>
      <c r="Y14" s="40"/>
      <c r="Z14" s="40"/>
    </row>
    <row r="15" spans="1:30" ht="18.75">
      <c r="H15" s="353"/>
      <c r="L15" s="43" t="s">
        <v>142</v>
      </c>
      <c r="M15" s="46">
        <f>SUM(M6:M13)</f>
        <v>40.081480391999989</v>
      </c>
      <c r="N15" s="360"/>
      <c r="O15" s="45"/>
      <c r="P15" s="45"/>
      <c r="Q15" s="45"/>
      <c r="R15" s="45"/>
      <c r="S15" s="46">
        <f>SUM(S6:S13)</f>
        <v>88.965000000000003</v>
      </c>
      <c r="T15" s="444"/>
      <c r="U15" s="40"/>
      <c r="V15" s="40"/>
      <c r="W15" s="45"/>
      <c r="X15" s="46">
        <f>SUM(X6:X13)</f>
        <v>0</v>
      </c>
      <c r="Y15" s="425"/>
      <c r="Z15" s="46">
        <f>SUM(Z6:Z13)</f>
        <v>129.04648039200001</v>
      </c>
    </row>
    <row r="16" spans="1:30">
      <c r="A16" s="47"/>
    </row>
    <row r="17" spans="1:26">
      <c r="A17" s="47"/>
    </row>
    <row r="18" spans="1:26" ht="18.75">
      <c r="A18" s="526" t="str">
        <f>Maint_Base!A17</f>
        <v>College Ave (Roadway)</v>
      </c>
      <c r="B18" s="48"/>
      <c r="C18" s="48"/>
      <c r="D18" s="6"/>
      <c r="E18" s="7"/>
      <c r="F18" s="266"/>
      <c r="G18" s="277"/>
      <c r="H18" s="351"/>
      <c r="I18" s="158"/>
      <c r="J18" s="158"/>
      <c r="K18" s="158"/>
      <c r="L18" s="158"/>
      <c r="M18" s="158"/>
      <c r="N18" s="355"/>
      <c r="O18" s="158"/>
      <c r="P18" s="158"/>
      <c r="Q18" s="7"/>
      <c r="R18" s="158"/>
      <c r="S18" s="158"/>
      <c r="T18" s="441"/>
      <c r="U18" s="158"/>
      <c r="V18" s="158"/>
      <c r="W18" s="7"/>
      <c r="X18" s="158"/>
      <c r="Y18" s="179"/>
      <c r="Z18" s="428"/>
    </row>
    <row r="19" spans="1:26">
      <c r="A19" s="9"/>
      <c r="B19" s="10"/>
      <c r="C19" s="10"/>
      <c r="D19" s="11"/>
      <c r="E19" s="11"/>
      <c r="F19" s="267"/>
      <c r="G19" s="278"/>
      <c r="H19" s="563" t="s">
        <v>198</v>
      </c>
      <c r="I19" s="560"/>
      <c r="J19" s="560"/>
      <c r="K19" s="317">
        <v>0</v>
      </c>
      <c r="L19" s="418"/>
      <c r="M19" s="300"/>
      <c r="N19" s="565" t="s">
        <v>199</v>
      </c>
      <c r="O19" s="565"/>
      <c r="P19" s="565"/>
      <c r="Q19" s="19">
        <v>0</v>
      </c>
      <c r="R19" s="418"/>
      <c r="S19" s="300"/>
      <c r="T19" s="563" t="s">
        <v>200</v>
      </c>
      <c r="U19" s="560"/>
      <c r="V19" s="317">
        <v>0</v>
      </c>
      <c r="W19" s="297"/>
      <c r="X19" s="299"/>
      <c r="Y19" s="561" t="s">
        <v>182</v>
      </c>
      <c r="Z19" s="562"/>
    </row>
    <row r="20" spans="1:26">
      <c r="A20" s="15" t="s">
        <v>81</v>
      </c>
      <c r="B20" s="16" t="s">
        <v>82</v>
      </c>
      <c r="C20" s="16" t="s">
        <v>83</v>
      </c>
      <c r="D20" s="542" t="s">
        <v>84</v>
      </c>
      <c r="E20" s="542" t="s">
        <v>85</v>
      </c>
      <c r="F20" s="268" t="s">
        <v>183</v>
      </c>
      <c r="G20" s="279" t="s">
        <v>184</v>
      </c>
      <c r="H20" s="352" t="s">
        <v>185</v>
      </c>
      <c r="I20" s="542" t="s">
        <v>143</v>
      </c>
      <c r="J20" s="542" t="s">
        <v>125</v>
      </c>
      <c r="K20" s="299" t="s">
        <v>122</v>
      </c>
      <c r="L20" s="371" t="s">
        <v>186</v>
      </c>
      <c r="M20" s="417" t="s">
        <v>187</v>
      </c>
      <c r="N20" s="356" t="s">
        <v>185</v>
      </c>
      <c r="O20" s="305" t="s">
        <v>143</v>
      </c>
      <c r="P20" s="542" t="s">
        <v>125</v>
      </c>
      <c r="Q20" s="299" t="s">
        <v>122</v>
      </c>
      <c r="R20" s="371" t="s">
        <v>186</v>
      </c>
      <c r="S20" s="301" t="s">
        <v>187</v>
      </c>
      <c r="T20" s="540" t="s">
        <v>188</v>
      </c>
      <c r="U20" s="542" t="s">
        <v>125</v>
      </c>
      <c r="V20" s="298" t="s">
        <v>122</v>
      </c>
      <c r="W20" s="298" t="s">
        <v>186</v>
      </c>
      <c r="X20" s="323" t="s">
        <v>187</v>
      </c>
      <c r="Y20" s="427" t="s">
        <v>189</v>
      </c>
      <c r="Z20" s="431" t="s">
        <v>190</v>
      </c>
    </row>
    <row r="21" spans="1:26">
      <c r="A21" s="49" t="s">
        <v>106</v>
      </c>
      <c r="B21" s="30" t="s">
        <v>107</v>
      </c>
      <c r="C21" s="31" t="s">
        <v>108</v>
      </c>
      <c r="D21" s="50">
        <v>3</v>
      </c>
      <c r="E21" s="160" t="s">
        <v>93</v>
      </c>
      <c r="F21" s="272">
        <v>50000</v>
      </c>
      <c r="G21" s="295">
        <f>'OpHrs_Summary (Ref)'!$J$24</f>
        <v>4304.6641666666665</v>
      </c>
      <c r="H21" s="347">
        <f>(Dashboard!$D$29)/Dashboard!$D$6</f>
        <v>5.0000000000000001E-4</v>
      </c>
      <c r="I21" s="339">
        <f>Capital_R1!K21</f>
        <v>1947.2572799999998</v>
      </c>
      <c r="J21" s="339">
        <f>115*2</f>
        <v>230</v>
      </c>
      <c r="K21" s="303">
        <f t="shared" ref="K21" si="11">J21*(1+$K$4)</f>
        <v>230</v>
      </c>
      <c r="L21" s="303">
        <f>(I21+K21)*H21</f>
        <v>1.08862864</v>
      </c>
      <c r="M21" s="304">
        <f>L21*$D21</f>
        <v>3.2658859200000001</v>
      </c>
      <c r="N21" s="357">
        <f>((F21/1000)*(Dashboard!$D$30))/Dashboard!$D$6</f>
        <v>5.0000000000000001E-3</v>
      </c>
      <c r="O21" s="339">
        <f>85*2</f>
        <v>170</v>
      </c>
      <c r="P21" s="339">
        <f>115*2</f>
        <v>230</v>
      </c>
      <c r="Q21" s="24">
        <f t="shared" ref="Q21" si="12">P21*(1+$K$4)</f>
        <v>230</v>
      </c>
      <c r="R21" s="24">
        <f>(O21+Q21)*N21</f>
        <v>2</v>
      </c>
      <c r="S21" s="24">
        <f>R21*$D21</f>
        <v>6</v>
      </c>
      <c r="T21" s="332">
        <v>0</v>
      </c>
      <c r="U21" s="437">
        <f>115*2</f>
        <v>230</v>
      </c>
      <c r="V21" s="314">
        <f t="shared" ref="V21" si="13">U21*(1+$K$4)</f>
        <v>230</v>
      </c>
      <c r="W21" s="314">
        <f>(U21+V21)*T21</f>
        <v>0</v>
      </c>
      <c r="X21" s="314">
        <f t="shared" ref="X21" si="14">W21*$D21</f>
        <v>0</v>
      </c>
      <c r="Y21" s="438">
        <f>L21+R21+W21</f>
        <v>3.08862864</v>
      </c>
      <c r="Z21" s="90">
        <f>Y21*$D21</f>
        <v>9.2658859200000006</v>
      </c>
    </row>
    <row r="22" spans="1:26">
      <c r="A22" s="53" t="s">
        <v>109</v>
      </c>
      <c r="B22" s="54" t="s">
        <v>110</v>
      </c>
      <c r="C22" s="55"/>
      <c r="D22" s="56">
        <v>1</v>
      </c>
      <c r="E22" s="57"/>
      <c r="F22" s="273"/>
      <c r="G22" s="292"/>
      <c r="H22" s="366"/>
      <c r="I22" s="367"/>
      <c r="J22" s="368"/>
      <c r="K22" s="303"/>
      <c r="L22" s="303"/>
      <c r="M22" s="304"/>
      <c r="N22" s="319"/>
      <c r="O22" s="320"/>
      <c r="P22" s="328"/>
      <c r="Q22" s="65"/>
      <c r="R22" s="65"/>
      <c r="S22" s="65"/>
      <c r="T22" s="446"/>
      <c r="U22" s="436"/>
      <c r="V22" s="303"/>
      <c r="W22" s="303"/>
      <c r="X22" s="303"/>
      <c r="Y22" s="376"/>
      <c r="Z22" s="58"/>
    </row>
    <row r="23" spans="1:26" ht="8.25" customHeight="1">
      <c r="H23" s="39"/>
      <c r="I23" s="39"/>
      <c r="J23" s="40"/>
      <c r="K23" s="40"/>
      <c r="L23" s="40"/>
      <c r="M23" s="40"/>
      <c r="N23" s="364"/>
      <c r="O23" s="40"/>
      <c r="P23" s="40"/>
      <c r="Q23" s="40"/>
      <c r="R23" s="40"/>
      <c r="S23" s="40"/>
      <c r="T23" s="443"/>
      <c r="U23" s="224"/>
      <c r="V23" s="40"/>
      <c r="W23" s="40"/>
      <c r="X23" s="40"/>
      <c r="Y23" s="40"/>
      <c r="Z23" s="40"/>
    </row>
    <row r="24" spans="1:26" ht="18.75">
      <c r="L24" s="43" t="s">
        <v>142</v>
      </c>
      <c r="M24" s="46">
        <f>M21+M22</f>
        <v>3.2658859200000001</v>
      </c>
      <c r="N24" s="365"/>
      <c r="O24" s="45"/>
      <c r="P24" s="45"/>
      <c r="Q24" s="45"/>
      <c r="R24" s="45"/>
      <c r="S24" s="46">
        <f>S21+S22</f>
        <v>6</v>
      </c>
      <c r="T24" s="444"/>
      <c r="U24" s="45"/>
      <c r="V24" s="45"/>
      <c r="W24" s="45"/>
      <c r="X24" s="46">
        <f>X21+X22</f>
        <v>0</v>
      </c>
      <c r="Z24" s="46">
        <f>Z21+Z22</f>
        <v>9.2658859200000006</v>
      </c>
    </row>
    <row r="25" spans="1:26">
      <c r="A25" s="59"/>
      <c r="E25" s="38"/>
      <c r="F25" s="274"/>
      <c r="G25" s="281"/>
      <c r="Z25" s="60"/>
    </row>
    <row r="26" spans="1:26">
      <c r="A26" s="59"/>
      <c r="E26" s="38"/>
      <c r="F26" s="274"/>
      <c r="G26" s="281"/>
    </row>
    <row r="27" spans="1:26" ht="18.75">
      <c r="A27" s="522" t="str">
        <f>Maint_Base!A25</f>
        <v>College Ave (Area)</v>
      </c>
      <c r="B27" s="62"/>
      <c r="C27" s="62"/>
      <c r="D27" s="6"/>
      <c r="E27" s="6"/>
      <c r="F27" s="275"/>
      <c r="G27" s="282"/>
      <c r="H27" s="351"/>
      <c r="I27" s="158"/>
      <c r="J27" s="158"/>
      <c r="K27" s="158"/>
      <c r="L27" s="158"/>
      <c r="M27" s="158"/>
      <c r="N27" s="355"/>
      <c r="O27" s="158"/>
      <c r="P27" s="158"/>
      <c r="Q27" s="7"/>
      <c r="R27" s="158"/>
      <c r="S27" s="158"/>
      <c r="T27" s="441"/>
      <c r="U27" s="158"/>
      <c r="V27" s="158"/>
      <c r="W27" s="7"/>
      <c r="X27" s="158"/>
      <c r="Y27" s="179"/>
      <c r="Z27" s="428"/>
    </row>
    <row r="28" spans="1:26">
      <c r="A28" s="9"/>
      <c r="B28" s="10"/>
      <c r="C28" s="10"/>
      <c r="D28" s="11"/>
      <c r="E28" s="11"/>
      <c r="F28" s="267"/>
      <c r="G28" s="278"/>
      <c r="H28" s="563" t="s">
        <v>198</v>
      </c>
      <c r="I28" s="560"/>
      <c r="J28" s="560"/>
      <c r="K28" s="317">
        <v>0</v>
      </c>
      <c r="L28" s="418"/>
      <c r="M28" s="300"/>
      <c r="N28" s="565" t="s">
        <v>199</v>
      </c>
      <c r="O28" s="565"/>
      <c r="P28" s="565"/>
      <c r="Q28" s="19">
        <v>0</v>
      </c>
      <c r="R28" s="418"/>
      <c r="S28" s="300"/>
      <c r="T28" s="563" t="s">
        <v>200</v>
      </c>
      <c r="U28" s="560"/>
      <c r="V28" s="317">
        <v>0</v>
      </c>
      <c r="W28" s="297"/>
      <c r="X28" s="299"/>
      <c r="Y28" s="561" t="s">
        <v>182</v>
      </c>
      <c r="Z28" s="562"/>
    </row>
    <row r="29" spans="1:26">
      <c r="A29" s="15" t="s">
        <v>81</v>
      </c>
      <c r="B29" s="16" t="s">
        <v>82</v>
      </c>
      <c r="C29" s="16" t="s">
        <v>83</v>
      </c>
      <c r="D29" s="542" t="s">
        <v>84</v>
      </c>
      <c r="E29" s="542" t="s">
        <v>85</v>
      </c>
      <c r="F29" s="268" t="s">
        <v>183</v>
      </c>
      <c r="G29" s="279" t="s">
        <v>184</v>
      </c>
      <c r="H29" s="352" t="s">
        <v>185</v>
      </c>
      <c r="I29" s="542" t="s">
        <v>143</v>
      </c>
      <c r="J29" s="542" t="s">
        <v>125</v>
      </c>
      <c r="K29" s="299" t="s">
        <v>122</v>
      </c>
      <c r="L29" s="371" t="s">
        <v>186</v>
      </c>
      <c r="M29" s="417" t="s">
        <v>187</v>
      </c>
      <c r="N29" s="356" t="s">
        <v>185</v>
      </c>
      <c r="O29" s="305" t="s">
        <v>143</v>
      </c>
      <c r="P29" s="542" t="s">
        <v>125</v>
      </c>
      <c r="Q29" s="299" t="s">
        <v>122</v>
      </c>
      <c r="R29" s="371" t="s">
        <v>186</v>
      </c>
      <c r="S29" s="301" t="s">
        <v>187</v>
      </c>
      <c r="T29" s="540" t="s">
        <v>188</v>
      </c>
      <c r="U29" s="542" t="s">
        <v>125</v>
      </c>
      <c r="V29" s="298" t="s">
        <v>122</v>
      </c>
      <c r="W29" s="298" t="s">
        <v>186</v>
      </c>
      <c r="X29" s="323" t="s">
        <v>187</v>
      </c>
      <c r="Y29" s="427" t="s">
        <v>189</v>
      </c>
      <c r="Z29" s="431" t="s">
        <v>190</v>
      </c>
    </row>
    <row r="30" spans="1:26">
      <c r="A30" s="63" t="s">
        <v>112</v>
      </c>
      <c r="B30" s="55" t="s">
        <v>107</v>
      </c>
      <c r="C30" s="54" t="s">
        <v>113</v>
      </c>
      <c r="D30" s="56">
        <v>5</v>
      </c>
      <c r="E30" s="54"/>
      <c r="F30" s="272">
        <v>50000</v>
      </c>
      <c r="G30" s="291">
        <f>'OpHrs_Summary (Ref)'!$J$24</f>
        <v>4304.6641666666665</v>
      </c>
      <c r="H30" s="347">
        <f>(Dashboard!$D$29)/Dashboard!$D$6</f>
        <v>5.0000000000000001E-4</v>
      </c>
      <c r="I30" s="339">
        <f>Capital_R1!K30</f>
        <v>1694.4997229999997</v>
      </c>
      <c r="J30" s="363">
        <f>172+87.5</f>
        <v>259.5</v>
      </c>
      <c r="K30" s="303">
        <f t="shared" ref="K30" si="15">J30*(1+$K$4)</f>
        <v>259.5</v>
      </c>
      <c r="L30" s="303">
        <f>(I30+K30)*H30</f>
        <v>0.97699986149999984</v>
      </c>
      <c r="M30" s="304">
        <f>L30*$D30</f>
        <v>4.8849993074999993</v>
      </c>
      <c r="N30" s="357">
        <f>((F30/1000)*(Dashboard!$D$30))/Dashboard!$D$6</f>
        <v>5.0000000000000001E-3</v>
      </c>
      <c r="O30" s="339">
        <v>85</v>
      </c>
      <c r="P30" s="363">
        <f>172+87.5</f>
        <v>259.5</v>
      </c>
      <c r="Q30" s="24">
        <f t="shared" ref="Q30" si="16">P30*(1+$K$4)</f>
        <v>259.5</v>
      </c>
      <c r="R30" s="24">
        <f>(O30+Q30)*N30</f>
        <v>1.7225000000000001</v>
      </c>
      <c r="S30" s="24">
        <f>R30*$D30</f>
        <v>8.6125000000000007</v>
      </c>
      <c r="T30" s="332">
        <v>0</v>
      </c>
      <c r="U30" s="363">
        <f>172+87.5</f>
        <v>259.5</v>
      </c>
      <c r="V30" s="314">
        <f t="shared" ref="V30" si="17">U30*(1+$K$4)</f>
        <v>259.5</v>
      </c>
      <c r="W30" s="314">
        <f>(U30+V30)*T30</f>
        <v>0</v>
      </c>
      <c r="X30" s="314">
        <f t="shared" ref="X30" si="18">W30*$D30</f>
        <v>0</v>
      </c>
      <c r="Y30" s="438">
        <f>L30+R30+W30</f>
        <v>2.6994998615000001</v>
      </c>
      <c r="Z30" s="90">
        <f>Y30*$D30</f>
        <v>13.4974993075</v>
      </c>
    </row>
    <row r="31" spans="1:26">
      <c r="A31" s="68" t="s">
        <v>109</v>
      </c>
      <c r="B31" s="55" t="s">
        <v>110</v>
      </c>
      <c r="C31" s="54"/>
      <c r="D31" s="56">
        <v>1</v>
      </c>
      <c r="E31" s="57"/>
      <c r="F31" s="273"/>
      <c r="G31" s="292"/>
      <c r="H31" s="366"/>
      <c r="I31" s="367"/>
      <c r="J31" s="368"/>
      <c r="K31" s="303"/>
      <c r="L31" s="303"/>
      <c r="M31" s="304"/>
      <c r="N31" s="319"/>
      <c r="O31" s="320"/>
      <c r="P31" s="328"/>
      <c r="Q31" s="65"/>
      <c r="R31" s="65"/>
      <c r="S31" s="65"/>
      <c r="T31" s="446"/>
      <c r="U31" s="436"/>
      <c r="V31" s="303"/>
      <c r="W31" s="303"/>
      <c r="X31" s="303"/>
      <c r="Y31" s="376"/>
      <c r="Z31" s="58"/>
    </row>
    <row r="32" spans="1:26" ht="8.25" customHeight="1">
      <c r="H32" s="39"/>
      <c r="I32" s="39"/>
      <c r="J32" s="40"/>
      <c r="K32" s="40"/>
      <c r="L32" s="40"/>
      <c r="M32" s="40"/>
      <c r="N32" s="364"/>
      <c r="O32" s="40"/>
      <c r="P32" s="40"/>
      <c r="Q32" s="40"/>
      <c r="R32" s="40"/>
      <c r="S32" s="40"/>
      <c r="T32" s="443"/>
      <c r="U32" s="224"/>
      <c r="V32" s="40"/>
      <c r="W32" s="40"/>
      <c r="X32" s="40"/>
      <c r="Y32" s="40"/>
      <c r="Z32" s="40"/>
    </row>
    <row r="33" spans="1:26" ht="18.75">
      <c r="L33" s="43" t="s">
        <v>142</v>
      </c>
      <c r="M33" s="46">
        <f>M30+M31</f>
        <v>4.8849993074999993</v>
      </c>
      <c r="N33" s="365"/>
      <c r="O33" s="45"/>
      <c r="P33" s="45"/>
      <c r="Q33" s="45"/>
      <c r="R33" s="45"/>
      <c r="S33" s="46">
        <f>S30+S31</f>
        <v>8.6125000000000007</v>
      </c>
      <c r="T33" s="444"/>
      <c r="U33" s="45"/>
      <c r="V33" s="45"/>
      <c r="W33" s="45"/>
      <c r="X33" s="46">
        <f>X30+X31</f>
        <v>0</v>
      </c>
      <c r="Z33" s="46">
        <f>Z30+Z31</f>
        <v>13.4974993075</v>
      </c>
    </row>
    <row r="34" spans="1:26">
      <c r="A34" s="47"/>
      <c r="Z34" s="60"/>
    </row>
    <row r="35" spans="1:26">
      <c r="A35" s="47"/>
    </row>
    <row r="36" spans="1:26" ht="18.75">
      <c r="A36" s="518" t="str">
        <f>Maint_Base!A33</f>
        <v>College Ave (Decorative)</v>
      </c>
      <c r="B36" s="69"/>
      <c r="C36" s="69"/>
      <c r="D36" s="6"/>
      <c r="E36" s="7"/>
      <c r="F36" s="266"/>
      <c r="G36" s="277"/>
      <c r="H36" s="351"/>
      <c r="I36" s="158"/>
      <c r="J36" s="158"/>
      <c r="K36" s="158"/>
      <c r="L36" s="158"/>
      <c r="M36" s="158"/>
      <c r="N36" s="355"/>
      <c r="O36" s="158"/>
      <c r="P36" s="158"/>
      <c r="Q36" s="7"/>
      <c r="R36" s="158"/>
      <c r="S36" s="158"/>
      <c r="T36" s="441"/>
      <c r="U36" s="158"/>
      <c r="V36" s="158"/>
      <c r="W36" s="7"/>
      <c r="X36" s="158"/>
      <c r="Y36" s="179"/>
      <c r="Z36" s="428"/>
    </row>
    <row r="37" spans="1:26">
      <c r="A37" s="9"/>
      <c r="B37" s="10"/>
      <c r="C37" s="10"/>
      <c r="D37" s="11"/>
      <c r="E37" s="11"/>
      <c r="F37" s="267"/>
      <c r="G37" s="278"/>
      <c r="H37" s="563" t="s">
        <v>198</v>
      </c>
      <c r="I37" s="560"/>
      <c r="J37" s="560"/>
      <c r="K37" s="317">
        <v>0</v>
      </c>
      <c r="L37" s="418"/>
      <c r="M37" s="300"/>
      <c r="N37" s="565" t="s">
        <v>199</v>
      </c>
      <c r="O37" s="565"/>
      <c r="P37" s="565"/>
      <c r="Q37" s="19">
        <v>0</v>
      </c>
      <c r="R37" s="418"/>
      <c r="S37" s="300"/>
      <c r="T37" s="563" t="s">
        <v>200</v>
      </c>
      <c r="U37" s="560"/>
      <c r="V37" s="317">
        <v>0</v>
      </c>
      <c r="W37" s="297"/>
      <c r="X37" s="299"/>
      <c r="Y37" s="561" t="s">
        <v>182</v>
      </c>
      <c r="Z37" s="562"/>
    </row>
    <row r="38" spans="1:26">
      <c r="A38" s="15" t="s">
        <v>81</v>
      </c>
      <c r="B38" s="16" t="s">
        <v>82</v>
      </c>
      <c r="C38" s="16" t="s">
        <v>83</v>
      </c>
      <c r="D38" s="542" t="s">
        <v>84</v>
      </c>
      <c r="E38" s="542" t="s">
        <v>85</v>
      </c>
      <c r="F38" s="268" t="s">
        <v>183</v>
      </c>
      <c r="G38" s="279" t="s">
        <v>184</v>
      </c>
      <c r="H38" s="352" t="s">
        <v>185</v>
      </c>
      <c r="I38" s="542" t="s">
        <v>143</v>
      </c>
      <c r="J38" s="542" t="s">
        <v>125</v>
      </c>
      <c r="K38" s="299" t="s">
        <v>122</v>
      </c>
      <c r="L38" s="371" t="s">
        <v>186</v>
      </c>
      <c r="M38" s="417" t="s">
        <v>187</v>
      </c>
      <c r="N38" s="356" t="s">
        <v>185</v>
      </c>
      <c r="O38" s="305" t="s">
        <v>143</v>
      </c>
      <c r="P38" s="542" t="s">
        <v>125</v>
      </c>
      <c r="Q38" s="299" t="s">
        <v>122</v>
      </c>
      <c r="R38" s="371" t="s">
        <v>186</v>
      </c>
      <c r="S38" s="301" t="s">
        <v>187</v>
      </c>
      <c r="T38" s="540" t="s">
        <v>188</v>
      </c>
      <c r="U38" s="542" t="s">
        <v>125</v>
      </c>
      <c r="V38" s="298" t="s">
        <v>122</v>
      </c>
      <c r="W38" s="298" t="s">
        <v>186</v>
      </c>
      <c r="X38" s="323" t="s">
        <v>187</v>
      </c>
      <c r="Y38" s="427" t="s">
        <v>189</v>
      </c>
      <c r="Z38" s="431" t="s">
        <v>190</v>
      </c>
    </row>
    <row r="39" spans="1:26">
      <c r="A39" s="53" t="s">
        <v>115</v>
      </c>
      <c r="B39" s="55" t="s">
        <v>89</v>
      </c>
      <c r="C39" s="55" t="s">
        <v>116</v>
      </c>
      <c r="D39" s="56">
        <v>10</v>
      </c>
      <c r="E39" s="160" t="s">
        <v>117</v>
      </c>
      <c r="F39" s="272">
        <v>50000</v>
      </c>
      <c r="G39" s="321">
        <f>'OpHrs_Summary (Ref)'!$J$24</f>
        <v>4304.6641666666665</v>
      </c>
      <c r="H39" s="347">
        <f>(Dashboard!$D$29)/Dashboard!$D$6</f>
        <v>5.0000000000000001E-4</v>
      </c>
      <c r="I39" s="339">
        <f>Capital_R1!K39</f>
        <v>2576.5538399999996</v>
      </c>
      <c r="J39" s="339">
        <f>115*2</f>
        <v>230</v>
      </c>
      <c r="K39" s="303">
        <f>J39*(1+$K$37)</f>
        <v>230</v>
      </c>
      <c r="L39" s="303">
        <f>(I39+K39)*H39</f>
        <v>1.4032769199999999</v>
      </c>
      <c r="M39" s="304">
        <f>L39*$D39</f>
        <v>14.032769199999999</v>
      </c>
      <c r="N39" s="357">
        <f>((F39/1000)*(Dashboard!$D$30))/Dashboard!$D$6</f>
        <v>5.0000000000000001E-3</v>
      </c>
      <c r="O39" s="339">
        <f>85*2</f>
        <v>170</v>
      </c>
      <c r="P39" s="339">
        <f>115*2</f>
        <v>230</v>
      </c>
      <c r="Q39" s="24">
        <f t="shared" ref="Q39" si="19">P39*(1+$K$4)</f>
        <v>230</v>
      </c>
      <c r="R39" s="24">
        <f>(O39+Q39)*N39</f>
        <v>2</v>
      </c>
      <c r="S39" s="24">
        <f>R39*$D39</f>
        <v>20</v>
      </c>
      <c r="T39" s="332">
        <v>0</v>
      </c>
      <c r="U39" s="437">
        <f>115*2</f>
        <v>230</v>
      </c>
      <c r="V39" s="314">
        <f t="shared" ref="V39" si="20">U39*(1+$K$4)</f>
        <v>230</v>
      </c>
      <c r="W39" s="314">
        <f>(U39+V39)*T39</f>
        <v>0</v>
      </c>
      <c r="X39" s="314">
        <f t="shared" ref="X39" si="21">W39*$D39</f>
        <v>0</v>
      </c>
      <c r="Y39" s="438">
        <f>L39+R39+W39</f>
        <v>3.4032769199999997</v>
      </c>
      <c r="Z39" s="90">
        <f>Y39*$D39</f>
        <v>34.032769199999997</v>
      </c>
    </row>
    <row r="40" spans="1:26">
      <c r="A40" s="68" t="s">
        <v>109</v>
      </c>
      <c r="B40" s="55" t="s">
        <v>110</v>
      </c>
      <c r="C40" s="54"/>
      <c r="D40" s="56">
        <v>1</v>
      </c>
      <c r="E40" s="57"/>
      <c r="F40" s="273"/>
      <c r="G40" s="322"/>
      <c r="H40" s="366"/>
      <c r="I40" s="367"/>
      <c r="J40" s="368"/>
      <c r="K40" s="303"/>
      <c r="L40" s="303"/>
      <c r="M40" s="304"/>
      <c r="N40" s="319"/>
      <c r="O40" s="320"/>
      <c r="P40" s="328"/>
      <c r="Q40" s="65"/>
      <c r="R40" s="65"/>
      <c r="S40" s="65"/>
      <c r="T40" s="446"/>
      <c r="U40" s="436"/>
      <c r="V40" s="303"/>
      <c r="W40" s="303"/>
      <c r="X40" s="303"/>
      <c r="Y40" s="376"/>
      <c r="Z40" s="58"/>
    </row>
    <row r="41" spans="1:26" ht="8.25" customHeight="1">
      <c r="A41" s="59"/>
      <c r="E41" s="38"/>
      <c r="F41" s="274"/>
      <c r="G41" s="281"/>
      <c r="H41" s="70"/>
      <c r="I41" s="70"/>
      <c r="J41" s="71"/>
      <c r="K41" s="71"/>
      <c r="L41" s="71"/>
      <c r="M41" s="71"/>
      <c r="N41" s="70"/>
      <c r="O41" s="71"/>
      <c r="P41" s="71"/>
      <c r="Q41" s="71"/>
      <c r="R41" s="71"/>
      <c r="S41" s="71"/>
      <c r="T41" s="447"/>
      <c r="U41" s="224"/>
      <c r="V41" s="71"/>
      <c r="W41" s="71"/>
      <c r="X41" s="71"/>
      <c r="Y41" s="71"/>
      <c r="Z41" s="72"/>
    </row>
    <row r="42" spans="1:26" ht="18.75">
      <c r="L42" s="43" t="s">
        <v>142</v>
      </c>
      <c r="M42" s="46">
        <f>M39+M40</f>
        <v>14.032769199999999</v>
      </c>
      <c r="N42" s="365"/>
      <c r="O42" s="45"/>
      <c r="P42" s="45"/>
      <c r="Q42" s="45"/>
      <c r="R42" s="45"/>
      <c r="S42" s="46">
        <f>S39+S40</f>
        <v>20</v>
      </c>
      <c r="T42" s="444"/>
      <c r="U42" s="45"/>
      <c r="V42" s="45"/>
      <c r="W42" s="45"/>
      <c r="X42" s="46">
        <f>X39+X40</f>
        <v>0</v>
      </c>
      <c r="Z42" s="46">
        <f>Z39+Z40</f>
        <v>34.032769199999997</v>
      </c>
    </row>
  </sheetData>
  <mergeCells count="16">
    <mergeCell ref="Y4:Z4"/>
    <mergeCell ref="Y19:Z19"/>
    <mergeCell ref="Y28:Z28"/>
    <mergeCell ref="Y37:Z37"/>
    <mergeCell ref="H4:J4"/>
    <mergeCell ref="N4:P4"/>
    <mergeCell ref="T4:U4"/>
    <mergeCell ref="H37:J37"/>
    <mergeCell ref="N37:P37"/>
    <mergeCell ref="T37:U37"/>
    <mergeCell ref="H19:J19"/>
    <mergeCell ref="N19:P19"/>
    <mergeCell ref="T19:U19"/>
    <mergeCell ref="H28:J28"/>
    <mergeCell ref="N28:P28"/>
    <mergeCell ref="T28:U28"/>
  </mergeCells>
  <hyperlinks>
    <hyperlink ref="A8" r:id="rId1" xr:uid="{3C23B306-C976-408C-A3EB-DD845D95A34A}"/>
    <hyperlink ref="A21" r:id="rId2" xr:uid="{0A63F6DE-1493-42E1-B22E-FDA0F0EFFAF7}"/>
    <hyperlink ref="A39" r:id="rId3" xr:uid="{1F743DC7-E022-413D-A6B8-1F76FC5AFFD7}"/>
    <hyperlink ref="A22" r:id="rId4" display="C2@180 R2" xr:uid="{3523EE31-4EDD-44A2-A1B6-553D7B55CF46}"/>
    <hyperlink ref="A31" r:id="rId5" display="C2@180 R2" xr:uid="{378BDCEE-DC93-4E44-88FA-9AE1553FE804}"/>
    <hyperlink ref="A40" r:id="rId6" display="C2@180 R2" xr:uid="{8707992A-C298-4493-9902-94DA4E353A44}"/>
  </hyperlinks>
  <pageMargins left="0.7" right="0.7" top="0.75" bottom="0.75" header="0.3" footer="0.3"/>
  <pageSetup orientation="portrait" r:id="rId7"/>
  <legacyDrawing r:id="rId8"/>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DA579-0667-4043-BB6F-AA7F3B55DED5}">
  <sheetPr codeName="Sheet9">
    <tabColor theme="7" tint="0.79998168889431442"/>
  </sheetPr>
  <dimension ref="A1:Z46"/>
  <sheetViews>
    <sheetView topLeftCell="A17" zoomScaleNormal="100" workbookViewId="0">
      <selection activeCell="A41" sqref="A41"/>
    </sheetView>
  </sheetViews>
  <sheetFormatPr defaultRowHeight="15"/>
  <cols>
    <col min="1" max="1" width="24.85546875" customWidth="1"/>
    <col min="2" max="2" width="13.85546875" customWidth="1"/>
    <col min="3" max="3" width="32.7109375" customWidth="1"/>
    <col min="4" max="4" width="9.85546875" style="38" customWidth="1"/>
    <col min="5" max="5" width="32.7109375" customWidth="1"/>
    <col min="6" max="6" width="19.7109375" style="81" customWidth="1"/>
    <col min="7" max="7" width="19.5703125" style="81" customWidth="1"/>
    <col min="8" max="8" width="12.7109375" style="81" customWidth="1"/>
    <col min="9" max="13" width="15.7109375" customWidth="1"/>
    <col min="14" max="14" width="12.7109375" style="81" customWidth="1"/>
    <col min="15" max="19" width="15.7109375" customWidth="1"/>
    <col min="20" max="20" width="12.7109375" customWidth="1"/>
    <col min="21" max="21" width="15.7109375" style="225" customWidth="1"/>
    <col min="22" max="26" width="15.7109375" customWidth="1"/>
  </cols>
  <sheetData>
    <row r="1" spans="1:26" ht="38.25" customHeight="1">
      <c r="A1" s="209" t="s">
        <v>201</v>
      </c>
      <c r="B1" s="209"/>
      <c r="C1" s="209"/>
      <c r="D1" s="209"/>
      <c r="E1" s="209"/>
      <c r="F1" s="344"/>
      <c r="G1" s="345"/>
      <c r="H1" s="344"/>
      <c r="I1" s="209"/>
      <c r="J1" s="209"/>
      <c r="K1" s="209"/>
      <c r="L1" s="209"/>
      <c r="M1" s="209"/>
      <c r="N1" s="344"/>
      <c r="O1" s="209"/>
      <c r="P1" s="209"/>
      <c r="Q1" s="209"/>
      <c r="R1" s="209"/>
      <c r="S1" s="209"/>
      <c r="T1" s="209"/>
      <c r="U1" s="346"/>
      <c r="V1" s="209"/>
      <c r="W1" s="209"/>
      <c r="X1" s="209"/>
      <c r="Y1" s="209"/>
      <c r="Z1" s="209"/>
    </row>
    <row r="2" spans="1:26">
      <c r="A2" s="2"/>
      <c r="B2" s="3"/>
      <c r="C2" s="3"/>
      <c r="D2" s="3"/>
      <c r="E2" s="3"/>
      <c r="H2" s="265"/>
      <c r="I2" s="3"/>
      <c r="J2" s="3"/>
      <c r="K2" s="3"/>
      <c r="L2" s="3"/>
      <c r="M2" s="3"/>
      <c r="N2" s="265"/>
      <c r="O2" s="3"/>
      <c r="P2" s="3"/>
      <c r="Q2" s="3"/>
      <c r="R2" s="3"/>
      <c r="S2" s="3"/>
      <c r="T2" s="3"/>
      <c r="U2" s="223"/>
      <c r="V2" s="3"/>
      <c r="W2" s="3"/>
      <c r="X2" s="3"/>
      <c r="Y2" s="3"/>
      <c r="Z2" s="3"/>
    </row>
    <row r="3" spans="1:26" ht="18.75">
      <c r="A3" s="530" t="str">
        <f>Maint_Base!A3</f>
        <v>Model High School</v>
      </c>
      <c r="B3" s="5"/>
      <c r="C3" s="5"/>
      <c r="D3" s="6"/>
      <c r="E3" s="7"/>
      <c r="F3" s="266"/>
      <c r="G3" s="277"/>
      <c r="H3" s="351"/>
      <c r="I3" s="158"/>
      <c r="J3" s="158"/>
      <c r="K3" s="158"/>
      <c r="L3" s="158"/>
      <c r="M3" s="158"/>
      <c r="N3" s="355"/>
      <c r="O3" s="158"/>
      <c r="P3" s="158"/>
      <c r="Q3" s="7"/>
      <c r="R3" s="158"/>
      <c r="S3" s="158"/>
      <c r="T3" s="158"/>
      <c r="U3" s="158"/>
      <c r="V3" s="158"/>
      <c r="W3" s="7"/>
      <c r="X3" s="158"/>
      <c r="Y3" s="179"/>
      <c r="Z3" s="428"/>
    </row>
    <row r="4" spans="1:26">
      <c r="A4" s="9"/>
      <c r="B4" s="10"/>
      <c r="C4" s="10"/>
      <c r="D4" s="11"/>
      <c r="E4" s="11"/>
      <c r="F4" s="267"/>
      <c r="G4" s="278"/>
      <c r="H4" s="563" t="s">
        <v>198</v>
      </c>
      <c r="I4" s="560"/>
      <c r="J4" s="560"/>
      <c r="K4" s="317">
        <v>0</v>
      </c>
      <c r="L4" s="418"/>
      <c r="M4" s="300"/>
      <c r="N4" s="564" t="s">
        <v>199</v>
      </c>
      <c r="O4" s="565"/>
      <c r="P4" s="565"/>
      <c r="Q4" s="19">
        <v>0</v>
      </c>
      <c r="R4" s="418"/>
      <c r="S4" s="300"/>
      <c r="T4" s="566" t="s">
        <v>200</v>
      </c>
      <c r="U4" s="567"/>
      <c r="V4" s="429">
        <v>0</v>
      </c>
      <c r="W4" s="419"/>
      <c r="X4" s="298"/>
      <c r="Y4" s="561" t="s">
        <v>182</v>
      </c>
      <c r="Z4" s="562"/>
    </row>
    <row r="5" spans="1:26">
      <c r="A5" s="15" t="s">
        <v>81</v>
      </c>
      <c r="B5" s="16" t="s">
        <v>82</v>
      </c>
      <c r="C5" s="16" t="s">
        <v>83</v>
      </c>
      <c r="D5" s="542" t="s">
        <v>84</v>
      </c>
      <c r="E5" s="542" t="s">
        <v>85</v>
      </c>
      <c r="F5" s="268" t="s">
        <v>183</v>
      </c>
      <c r="G5" s="279" t="s">
        <v>184</v>
      </c>
      <c r="H5" s="352" t="s">
        <v>185</v>
      </c>
      <c r="I5" s="542" t="s">
        <v>143</v>
      </c>
      <c r="J5" s="542" t="s">
        <v>125</v>
      </c>
      <c r="K5" s="299" t="s">
        <v>122</v>
      </c>
      <c r="L5" s="371" t="s">
        <v>186</v>
      </c>
      <c r="M5" s="417" t="s">
        <v>187</v>
      </c>
      <c r="N5" s="356" t="s">
        <v>185</v>
      </c>
      <c r="O5" s="305" t="s">
        <v>143</v>
      </c>
      <c r="P5" s="542" t="s">
        <v>125</v>
      </c>
      <c r="Q5" s="299" t="s">
        <v>122</v>
      </c>
      <c r="R5" s="371" t="s">
        <v>186</v>
      </c>
      <c r="S5" s="305" t="s">
        <v>187</v>
      </c>
      <c r="T5" s="539" t="s">
        <v>188</v>
      </c>
      <c r="U5" s="538" t="s">
        <v>125</v>
      </c>
      <c r="V5" s="299" t="s">
        <v>122</v>
      </c>
      <c r="W5" s="299" t="s">
        <v>186</v>
      </c>
      <c r="X5" s="318" t="s">
        <v>187</v>
      </c>
      <c r="Y5" s="427" t="s">
        <v>189</v>
      </c>
      <c r="Z5" s="431" t="s">
        <v>190</v>
      </c>
    </row>
    <row r="6" spans="1:26">
      <c r="A6" t="s">
        <v>146</v>
      </c>
      <c r="B6" s="73" t="s">
        <v>107</v>
      </c>
      <c r="C6" t="s">
        <v>147</v>
      </c>
      <c r="D6" s="74">
        <v>13</v>
      </c>
      <c r="E6" s="75"/>
      <c r="F6" s="287">
        <v>50000</v>
      </c>
      <c r="G6" s="293">
        <f>'OpHrs_Summary (Ref)'!$J$24</f>
        <v>4304.6641666666665</v>
      </c>
      <c r="H6" s="331">
        <f>(Dashboard!$D$29)/Dashboard!$D$6</f>
        <v>5.0000000000000001E-4</v>
      </c>
      <c r="I6" s="161">
        <f>Capital_R2!K6</f>
        <v>966.83104979999985</v>
      </c>
      <c r="J6" s="395">
        <v>115</v>
      </c>
      <c r="K6" s="24">
        <f t="shared" ref="K6:K16" si="0">J6*(1+$K$4)</f>
        <v>115</v>
      </c>
      <c r="L6" s="24">
        <f t="shared" ref="L6:L16" si="1">(I6+K6)*H6</f>
        <v>0.54091552489999994</v>
      </c>
      <c r="M6" s="302">
        <f t="shared" ref="M6:M16" si="2">L6*$D6</f>
        <v>7.0319018236999993</v>
      </c>
      <c r="N6" s="357">
        <f>((F6/1000)*(Dashboard!$D$30))/Dashboard!$D$6</f>
        <v>5.0000000000000001E-3</v>
      </c>
      <c r="O6" s="161">
        <v>85</v>
      </c>
      <c r="P6" s="395">
        <v>115</v>
      </c>
      <c r="Q6" s="24">
        <f t="shared" ref="Q6:Q16" si="3">P6*(1+$K$4)</f>
        <v>115</v>
      </c>
      <c r="R6" s="24">
        <f t="shared" ref="R6:R16" si="4">(O6+Q6)*N6</f>
        <v>1</v>
      </c>
      <c r="S6" s="24">
        <f t="shared" ref="S6:S16" si="5">R6*$D6</f>
        <v>13</v>
      </c>
      <c r="T6" s="331">
        <v>0</v>
      </c>
      <c r="U6" s="395">
        <v>115</v>
      </c>
      <c r="V6" s="24">
        <f t="shared" ref="V6" si="6">U6*(1+$K$4)</f>
        <v>115</v>
      </c>
      <c r="W6" s="24">
        <f>(U6+V6)*T6</f>
        <v>0</v>
      </c>
      <c r="X6" s="24">
        <f t="shared" ref="X6:X16" si="7">W6*$D6</f>
        <v>0</v>
      </c>
      <c r="Y6" s="438">
        <f t="shared" ref="Y6:Y16" si="8">L6+R6+W6</f>
        <v>1.5409155248999999</v>
      </c>
      <c r="Z6" s="449">
        <f t="shared" ref="Z6:Z16" si="9">Y6*$D6</f>
        <v>20.0319018237</v>
      </c>
    </row>
    <row r="7" spans="1:26">
      <c r="A7" s="78" t="s">
        <v>148</v>
      </c>
      <c r="B7" s="21" t="s">
        <v>107</v>
      </c>
      <c r="C7" t="s">
        <v>149</v>
      </c>
      <c r="D7" s="79">
        <v>2</v>
      </c>
      <c r="E7" s="38" t="s">
        <v>93</v>
      </c>
      <c r="F7" s="288">
        <v>50000</v>
      </c>
      <c r="G7" s="294">
        <f>'OpHrs_Summary (Ref)'!$J$24</f>
        <v>4304.6641666666665</v>
      </c>
      <c r="H7" s="331">
        <f>(Dashboard!$D$29)/Dashboard!$D$6</f>
        <v>5.0000000000000001E-4</v>
      </c>
      <c r="I7" s="161">
        <f>Capital_R2!K7</f>
        <v>1725.6973967999998</v>
      </c>
      <c r="J7" s="395">
        <f>172*2</f>
        <v>344</v>
      </c>
      <c r="K7" s="24">
        <f t="shared" si="0"/>
        <v>344</v>
      </c>
      <c r="L7" s="24">
        <f t="shared" si="1"/>
        <v>1.0348486983999998</v>
      </c>
      <c r="M7" s="302">
        <f t="shared" si="2"/>
        <v>2.0696973967999996</v>
      </c>
      <c r="N7" s="357">
        <f>((F7/1000)*(Dashboard!$D$30))/Dashboard!$D$6</f>
        <v>5.0000000000000001E-3</v>
      </c>
      <c r="O7" s="161">
        <f>85*2</f>
        <v>170</v>
      </c>
      <c r="P7" s="395">
        <f>172*2</f>
        <v>344</v>
      </c>
      <c r="Q7" s="24">
        <f t="shared" si="3"/>
        <v>344</v>
      </c>
      <c r="R7" s="24">
        <f t="shared" si="4"/>
        <v>2.57</v>
      </c>
      <c r="S7" s="24">
        <f t="shared" si="5"/>
        <v>5.14</v>
      </c>
      <c r="T7" s="331">
        <v>0</v>
      </c>
      <c r="U7" s="395">
        <f>172*2</f>
        <v>344</v>
      </c>
      <c r="V7" s="24">
        <f t="shared" ref="V7:V16" si="10">U7*(1+$K$4)</f>
        <v>344</v>
      </c>
      <c r="W7" s="24">
        <f t="shared" ref="W7:W16" si="11">(U7+V7)*T7</f>
        <v>0</v>
      </c>
      <c r="X7" s="24">
        <f t="shared" si="7"/>
        <v>0</v>
      </c>
      <c r="Y7" s="25">
        <f t="shared" si="8"/>
        <v>3.6048486983999997</v>
      </c>
      <c r="Z7" s="312">
        <f t="shared" si="9"/>
        <v>7.2096973967999993</v>
      </c>
    </row>
    <row r="8" spans="1:26">
      <c r="A8" s="78" t="s">
        <v>150</v>
      </c>
      <c r="B8" s="21" t="s">
        <v>107</v>
      </c>
      <c r="C8" t="s">
        <v>151</v>
      </c>
      <c r="D8" s="79">
        <v>1</v>
      </c>
      <c r="E8" s="38" t="s">
        <v>93</v>
      </c>
      <c r="F8" s="288">
        <v>50000</v>
      </c>
      <c r="G8" s="294">
        <f>'OpHrs_Summary (Ref)'!$J$24</f>
        <v>4304.6641666666665</v>
      </c>
      <c r="H8" s="331">
        <f>(Dashboard!$D$29)/Dashboard!$D$6</f>
        <v>5.0000000000000001E-4</v>
      </c>
      <c r="I8" s="161">
        <f>Capital_R2!K8</f>
        <v>1725.6973967999998</v>
      </c>
      <c r="J8" s="395">
        <f>172*2</f>
        <v>344</v>
      </c>
      <c r="K8" s="24">
        <f t="shared" si="0"/>
        <v>344</v>
      </c>
      <c r="L8" s="24">
        <f t="shared" si="1"/>
        <v>1.0348486983999998</v>
      </c>
      <c r="M8" s="302">
        <f t="shared" si="2"/>
        <v>1.0348486983999998</v>
      </c>
      <c r="N8" s="357">
        <f>((F8/1000)*(Dashboard!$D$30))/Dashboard!$D$6</f>
        <v>5.0000000000000001E-3</v>
      </c>
      <c r="O8" s="161">
        <f>85*2</f>
        <v>170</v>
      </c>
      <c r="P8" s="395">
        <f>172*2</f>
        <v>344</v>
      </c>
      <c r="Q8" s="24">
        <f t="shared" si="3"/>
        <v>344</v>
      </c>
      <c r="R8" s="24">
        <f t="shared" si="4"/>
        <v>2.57</v>
      </c>
      <c r="S8" s="24">
        <f t="shared" si="5"/>
        <v>2.57</v>
      </c>
      <c r="T8" s="331">
        <v>0</v>
      </c>
      <c r="U8" s="395">
        <f>172*2</f>
        <v>344</v>
      </c>
      <c r="V8" s="24">
        <f t="shared" si="10"/>
        <v>344</v>
      </c>
      <c r="W8" s="24">
        <f t="shared" si="11"/>
        <v>0</v>
      </c>
      <c r="X8" s="24">
        <f t="shared" si="7"/>
        <v>0</v>
      </c>
      <c r="Y8" s="25">
        <f t="shared" si="8"/>
        <v>3.6048486983999997</v>
      </c>
      <c r="Z8" s="312">
        <f t="shared" si="9"/>
        <v>3.6048486983999997</v>
      </c>
    </row>
    <row r="9" spans="1:26">
      <c r="A9" t="s">
        <v>152</v>
      </c>
      <c r="B9" s="21" t="s">
        <v>107</v>
      </c>
      <c r="C9" t="s">
        <v>149</v>
      </c>
      <c r="D9" s="79">
        <v>5</v>
      </c>
      <c r="F9" s="288">
        <v>50000</v>
      </c>
      <c r="G9" s="294">
        <f>'OpHrs_Summary (Ref)'!$J$24</f>
        <v>4304.6641666666665</v>
      </c>
      <c r="H9" s="331">
        <f>(Dashboard!$D$29)/Dashboard!$D$6</f>
        <v>5.0000000000000001E-4</v>
      </c>
      <c r="I9" s="161">
        <f>Capital_R2!K9</f>
        <v>862.84869839999988</v>
      </c>
      <c r="J9" s="395">
        <v>115</v>
      </c>
      <c r="K9" s="24">
        <f t="shared" si="0"/>
        <v>115</v>
      </c>
      <c r="L9" s="24">
        <f t="shared" si="1"/>
        <v>0.48892434919999994</v>
      </c>
      <c r="M9" s="302">
        <f t="shared" si="2"/>
        <v>2.4446217459999997</v>
      </c>
      <c r="N9" s="357">
        <f>((F9/1000)*(Dashboard!$D$30))/Dashboard!$D$6</f>
        <v>5.0000000000000001E-3</v>
      </c>
      <c r="O9" s="161">
        <v>85</v>
      </c>
      <c r="P9" s="395">
        <v>115</v>
      </c>
      <c r="Q9" s="24">
        <f t="shared" si="3"/>
        <v>115</v>
      </c>
      <c r="R9" s="24">
        <f t="shared" si="4"/>
        <v>1</v>
      </c>
      <c r="S9" s="24">
        <f t="shared" si="5"/>
        <v>5</v>
      </c>
      <c r="T9" s="331">
        <v>0</v>
      </c>
      <c r="U9" s="395">
        <v>115</v>
      </c>
      <c r="V9" s="24">
        <f t="shared" si="10"/>
        <v>115</v>
      </c>
      <c r="W9" s="24">
        <f t="shared" si="11"/>
        <v>0</v>
      </c>
      <c r="X9" s="24">
        <f t="shared" si="7"/>
        <v>0</v>
      </c>
      <c r="Y9" s="25">
        <f t="shared" si="8"/>
        <v>1.4889243491999999</v>
      </c>
      <c r="Z9" s="312">
        <f t="shared" si="9"/>
        <v>7.4446217459999993</v>
      </c>
    </row>
    <row r="10" spans="1:26">
      <c r="A10" t="s">
        <v>153</v>
      </c>
      <c r="B10" s="21" t="s">
        <v>107</v>
      </c>
      <c r="C10" t="s">
        <v>154</v>
      </c>
      <c r="D10" s="79">
        <v>3</v>
      </c>
      <c r="F10" s="288">
        <v>50000</v>
      </c>
      <c r="G10" s="294">
        <f>'OpHrs_Summary (Ref)'!$J$24</f>
        <v>4304.6641666666665</v>
      </c>
      <c r="H10" s="331">
        <f>(Dashboard!$D$29)/Dashboard!$D$6</f>
        <v>5.0000000000000001E-4</v>
      </c>
      <c r="I10" s="161">
        <f>Capital_R2!K10</f>
        <v>912.77684999999985</v>
      </c>
      <c r="J10" s="395">
        <v>172</v>
      </c>
      <c r="K10" s="24">
        <f t="shared" si="0"/>
        <v>172</v>
      </c>
      <c r="L10" s="24">
        <f t="shared" si="1"/>
        <v>0.54238842499999984</v>
      </c>
      <c r="M10" s="302">
        <f t="shared" si="2"/>
        <v>1.6271652749999994</v>
      </c>
      <c r="N10" s="357">
        <f>((F10/1000)*(Dashboard!$D$30))/Dashboard!$D$6</f>
        <v>5.0000000000000001E-3</v>
      </c>
      <c r="O10" s="161">
        <v>85</v>
      </c>
      <c r="P10" s="395">
        <v>172</v>
      </c>
      <c r="Q10" s="24">
        <f t="shared" si="3"/>
        <v>172</v>
      </c>
      <c r="R10" s="24">
        <f t="shared" si="4"/>
        <v>1.2849999999999999</v>
      </c>
      <c r="S10" s="24">
        <f t="shared" si="5"/>
        <v>3.8549999999999995</v>
      </c>
      <c r="T10" s="331">
        <v>0</v>
      </c>
      <c r="U10" s="395">
        <v>172</v>
      </c>
      <c r="V10" s="24">
        <f t="shared" si="10"/>
        <v>172</v>
      </c>
      <c r="W10" s="24">
        <f t="shared" si="11"/>
        <v>0</v>
      </c>
      <c r="X10" s="24">
        <f t="shared" si="7"/>
        <v>0</v>
      </c>
      <c r="Y10" s="25">
        <f t="shared" si="8"/>
        <v>1.8273884249999996</v>
      </c>
      <c r="Z10" s="312">
        <f t="shared" si="9"/>
        <v>5.4821652749999989</v>
      </c>
    </row>
    <row r="11" spans="1:26">
      <c r="A11" s="78" t="s">
        <v>155</v>
      </c>
      <c r="B11" s="21" t="s">
        <v>107</v>
      </c>
      <c r="C11" t="s">
        <v>156</v>
      </c>
      <c r="D11" s="79">
        <v>7</v>
      </c>
      <c r="E11" s="38" t="s">
        <v>93</v>
      </c>
      <c r="F11" s="288">
        <v>50000</v>
      </c>
      <c r="G11" s="294">
        <f>'OpHrs_Summary (Ref)'!$J$24</f>
        <v>4304.6641666666665</v>
      </c>
      <c r="H11" s="331">
        <f>(Dashboard!$D$29)/Dashboard!$D$6</f>
        <v>5.0000000000000001E-4</v>
      </c>
      <c r="I11" s="161">
        <f>Capital_R2!K11</f>
        <v>1788.1224281999994</v>
      </c>
      <c r="J11" s="395">
        <f>172*2</f>
        <v>344</v>
      </c>
      <c r="K11" s="24">
        <f t="shared" si="0"/>
        <v>344</v>
      </c>
      <c r="L11" s="24">
        <f t="shared" si="1"/>
        <v>1.0660612140999997</v>
      </c>
      <c r="M11" s="302">
        <f t="shared" si="2"/>
        <v>7.4624284986999978</v>
      </c>
      <c r="N11" s="357">
        <f>((F11/1000)*(Dashboard!$D$30))/Dashboard!$D$6</f>
        <v>5.0000000000000001E-3</v>
      </c>
      <c r="O11" s="161">
        <f>85*2</f>
        <v>170</v>
      </c>
      <c r="P11" s="395">
        <f>172*2</f>
        <v>344</v>
      </c>
      <c r="Q11" s="24">
        <f t="shared" si="3"/>
        <v>344</v>
      </c>
      <c r="R11" s="24">
        <f t="shared" si="4"/>
        <v>2.57</v>
      </c>
      <c r="S11" s="24">
        <f t="shared" si="5"/>
        <v>17.989999999999998</v>
      </c>
      <c r="T11" s="331">
        <v>0</v>
      </c>
      <c r="U11" s="395">
        <f>172*2</f>
        <v>344</v>
      </c>
      <c r="V11" s="24">
        <f t="shared" si="10"/>
        <v>344</v>
      </c>
      <c r="W11" s="24">
        <f t="shared" si="11"/>
        <v>0</v>
      </c>
      <c r="X11" s="24">
        <f t="shared" si="7"/>
        <v>0</v>
      </c>
      <c r="Y11" s="25">
        <f t="shared" si="8"/>
        <v>3.6360612140999997</v>
      </c>
      <c r="Z11" s="312">
        <f t="shared" si="9"/>
        <v>25.452428498699998</v>
      </c>
    </row>
    <row r="12" spans="1:26">
      <c r="A12" t="s">
        <v>157</v>
      </c>
      <c r="B12" s="21" t="s">
        <v>107</v>
      </c>
      <c r="C12" t="s">
        <v>156</v>
      </c>
      <c r="D12" s="79">
        <v>1</v>
      </c>
      <c r="F12" s="288">
        <v>50000</v>
      </c>
      <c r="G12" s="294">
        <f>'OpHrs_Summary (Ref)'!$J$24</f>
        <v>4304.6641666666665</v>
      </c>
      <c r="H12" s="331">
        <f>(Dashboard!$D$29)/Dashboard!$D$6</f>
        <v>5.0000000000000001E-4</v>
      </c>
      <c r="I12" s="161">
        <f>Capital_R2!K12</f>
        <v>894.06121409999969</v>
      </c>
      <c r="J12" s="395">
        <v>172</v>
      </c>
      <c r="K12" s="24">
        <f t="shared" si="0"/>
        <v>172</v>
      </c>
      <c r="L12" s="24">
        <f t="shared" si="1"/>
        <v>0.53303060704999983</v>
      </c>
      <c r="M12" s="302">
        <f t="shared" si="2"/>
        <v>0.53303060704999983</v>
      </c>
      <c r="N12" s="357">
        <f>((F12/1000)*(Dashboard!$D$30))/Dashboard!$D$6</f>
        <v>5.0000000000000001E-3</v>
      </c>
      <c r="O12" s="161">
        <v>85</v>
      </c>
      <c r="P12" s="395">
        <v>172</v>
      </c>
      <c r="Q12" s="24">
        <f t="shared" si="3"/>
        <v>172</v>
      </c>
      <c r="R12" s="24">
        <f t="shared" si="4"/>
        <v>1.2849999999999999</v>
      </c>
      <c r="S12" s="24">
        <f t="shared" si="5"/>
        <v>1.2849999999999999</v>
      </c>
      <c r="T12" s="331">
        <v>0</v>
      </c>
      <c r="U12" s="395">
        <v>172</v>
      </c>
      <c r="V12" s="24">
        <f t="shared" si="10"/>
        <v>172</v>
      </c>
      <c r="W12" s="24">
        <f t="shared" si="11"/>
        <v>0</v>
      </c>
      <c r="X12" s="24">
        <f t="shared" si="7"/>
        <v>0</v>
      </c>
      <c r="Y12" s="25">
        <f t="shared" si="8"/>
        <v>1.8180306070499999</v>
      </c>
      <c r="Z12" s="312">
        <f t="shared" si="9"/>
        <v>1.8180306070499999</v>
      </c>
    </row>
    <row r="13" spans="1:26">
      <c r="A13" t="s">
        <v>158</v>
      </c>
      <c r="B13" s="21" t="s">
        <v>107</v>
      </c>
      <c r="C13" t="s">
        <v>159</v>
      </c>
      <c r="D13" s="79">
        <v>16</v>
      </c>
      <c r="F13" s="288">
        <v>50000</v>
      </c>
      <c r="G13" s="294">
        <f>'OpHrs_Summary (Ref)'!$J$24</f>
        <v>4304.6641666666665</v>
      </c>
      <c r="H13" s="331">
        <f>(Dashboard!$D$29)/Dashboard!$D$6</f>
        <v>5.0000000000000001E-4</v>
      </c>
      <c r="I13" s="161">
        <f>Capital_R2!K13</f>
        <v>1043.5636727999997</v>
      </c>
      <c r="J13" s="395">
        <v>90</v>
      </c>
      <c r="K13" s="24">
        <f t="shared" si="0"/>
        <v>90</v>
      </c>
      <c r="L13" s="24">
        <f t="shared" si="1"/>
        <v>0.56678183639999991</v>
      </c>
      <c r="M13" s="302">
        <f t="shared" si="2"/>
        <v>9.0685093823999985</v>
      </c>
      <c r="N13" s="357">
        <f>((F13/1000)*(Dashboard!$D$30))/Dashboard!$D$6</f>
        <v>5.0000000000000001E-3</v>
      </c>
      <c r="O13" s="161">
        <v>85</v>
      </c>
      <c r="P13" s="395">
        <v>90</v>
      </c>
      <c r="Q13" s="24">
        <f t="shared" si="3"/>
        <v>90</v>
      </c>
      <c r="R13" s="24">
        <f t="shared" si="4"/>
        <v>0.875</v>
      </c>
      <c r="S13" s="24">
        <f t="shared" si="5"/>
        <v>14</v>
      </c>
      <c r="T13" s="331">
        <v>0</v>
      </c>
      <c r="U13" s="395">
        <v>90</v>
      </c>
      <c r="V13" s="24">
        <f t="shared" si="10"/>
        <v>90</v>
      </c>
      <c r="W13" s="24">
        <f t="shared" si="11"/>
        <v>0</v>
      </c>
      <c r="X13" s="24">
        <f t="shared" si="7"/>
        <v>0</v>
      </c>
      <c r="Y13" s="25">
        <f t="shared" si="8"/>
        <v>1.4417818363999999</v>
      </c>
      <c r="Z13" s="312">
        <f t="shared" si="9"/>
        <v>23.068509382399998</v>
      </c>
    </row>
    <row r="14" spans="1:26">
      <c r="A14" s="47" t="s">
        <v>160</v>
      </c>
      <c r="B14" s="21" t="s">
        <v>135</v>
      </c>
      <c r="C14" s="81" t="s">
        <v>161</v>
      </c>
      <c r="D14" s="79">
        <v>19</v>
      </c>
      <c r="F14" s="288">
        <v>50000</v>
      </c>
      <c r="G14" s="294">
        <f>'OpHrs_Summary (Ref)'!$J$24</f>
        <v>4304.6641666666665</v>
      </c>
      <c r="H14" s="331">
        <f>(Dashboard!$D$29)/Dashboard!$D$6</f>
        <v>5.0000000000000001E-4</v>
      </c>
      <c r="I14" s="161">
        <f>Capital_R2!K14</f>
        <v>511.60029299999985</v>
      </c>
      <c r="J14" s="396">
        <v>90</v>
      </c>
      <c r="K14" s="24">
        <f t="shared" si="0"/>
        <v>90</v>
      </c>
      <c r="L14" s="24">
        <f t="shared" si="1"/>
        <v>0.30080014649999992</v>
      </c>
      <c r="M14" s="302">
        <f t="shared" si="2"/>
        <v>5.7152027834999988</v>
      </c>
      <c r="N14" s="357">
        <f>((F14/1000)*(Dashboard!$D$30))/Dashboard!$D$6</f>
        <v>5.0000000000000001E-3</v>
      </c>
      <c r="O14" s="161">
        <v>85</v>
      </c>
      <c r="P14" s="396">
        <v>90</v>
      </c>
      <c r="Q14" s="24">
        <f t="shared" si="3"/>
        <v>90</v>
      </c>
      <c r="R14" s="24">
        <f t="shared" si="4"/>
        <v>0.875</v>
      </c>
      <c r="S14" s="24">
        <f t="shared" si="5"/>
        <v>16.625</v>
      </c>
      <c r="T14" s="331">
        <v>0</v>
      </c>
      <c r="U14" s="396">
        <v>90</v>
      </c>
      <c r="V14" s="24">
        <f t="shared" si="10"/>
        <v>90</v>
      </c>
      <c r="W14" s="24">
        <f t="shared" si="11"/>
        <v>0</v>
      </c>
      <c r="X14" s="24">
        <f t="shared" si="7"/>
        <v>0</v>
      </c>
      <c r="Y14" s="25">
        <f t="shared" si="8"/>
        <v>1.1758001464999999</v>
      </c>
      <c r="Z14" s="312">
        <f t="shared" si="9"/>
        <v>22.340202783499997</v>
      </c>
    </row>
    <row r="15" spans="1:26">
      <c r="A15" s="59" t="s">
        <v>162</v>
      </c>
      <c r="B15" s="21" t="s">
        <v>135</v>
      </c>
      <c r="C15" s="81" t="s">
        <v>163</v>
      </c>
      <c r="D15" s="79">
        <v>1</v>
      </c>
      <c r="E15" s="38"/>
      <c r="F15" s="288">
        <v>50000</v>
      </c>
      <c r="G15" s="294">
        <f>'OpHrs_Summary (Ref)'!$J$24</f>
        <v>4304.6641666666665</v>
      </c>
      <c r="H15" s="331">
        <f>(Dashboard!$D$29)/Dashboard!$D$6</f>
        <v>5.0000000000000001E-4</v>
      </c>
      <c r="I15" s="161">
        <f>Capital_R2!K15</f>
        <v>511.60029299999985</v>
      </c>
      <c r="J15" s="396">
        <v>90</v>
      </c>
      <c r="K15" s="24">
        <f t="shared" si="0"/>
        <v>90</v>
      </c>
      <c r="L15" s="24">
        <f t="shared" si="1"/>
        <v>0.30080014649999992</v>
      </c>
      <c r="M15" s="302">
        <f t="shared" si="2"/>
        <v>0.30080014649999992</v>
      </c>
      <c r="N15" s="357">
        <f>((F15/1000)*(Dashboard!$D$30))/Dashboard!$D$6</f>
        <v>5.0000000000000001E-3</v>
      </c>
      <c r="O15" s="161">
        <v>85</v>
      </c>
      <c r="P15" s="396">
        <v>90</v>
      </c>
      <c r="Q15" s="24">
        <f t="shared" si="3"/>
        <v>90</v>
      </c>
      <c r="R15" s="24">
        <f t="shared" si="4"/>
        <v>0.875</v>
      </c>
      <c r="S15" s="24">
        <f t="shared" si="5"/>
        <v>0.875</v>
      </c>
      <c r="T15" s="331">
        <v>0</v>
      </c>
      <c r="U15" s="396">
        <v>90</v>
      </c>
      <c r="V15" s="24">
        <f t="shared" si="10"/>
        <v>90</v>
      </c>
      <c r="W15" s="24">
        <f t="shared" si="11"/>
        <v>0</v>
      </c>
      <c r="X15" s="24">
        <f t="shared" si="7"/>
        <v>0</v>
      </c>
      <c r="Y15" s="25">
        <f t="shared" si="8"/>
        <v>1.1758001464999999</v>
      </c>
      <c r="Z15" s="312">
        <f t="shared" si="9"/>
        <v>1.1758001464999999</v>
      </c>
    </row>
    <row r="16" spans="1:26">
      <c r="A16" s="47" t="s">
        <v>164</v>
      </c>
      <c r="B16" s="30" t="s">
        <v>165</v>
      </c>
      <c r="C16" s="31" t="s">
        <v>166</v>
      </c>
      <c r="D16" s="50">
        <v>6</v>
      </c>
      <c r="F16" s="289">
        <v>50000</v>
      </c>
      <c r="G16" s="295">
        <f>'OpHrs_Summary (Ref)'!$J$24</f>
        <v>4304.6641666666665</v>
      </c>
      <c r="H16" s="331">
        <f>(Dashboard!$D$29)/Dashboard!$D$6</f>
        <v>5.0000000000000001E-4</v>
      </c>
      <c r="I16" s="161">
        <f>Capital_R2!K16</f>
        <v>1101.2689799999998</v>
      </c>
      <c r="J16" s="395">
        <f>135*1.5</f>
        <v>202.5</v>
      </c>
      <c r="K16" s="24">
        <f t="shared" si="0"/>
        <v>202.5</v>
      </c>
      <c r="L16" s="24">
        <f t="shared" si="1"/>
        <v>0.65188448999999993</v>
      </c>
      <c r="M16" s="302">
        <f t="shared" si="2"/>
        <v>3.9113069399999993</v>
      </c>
      <c r="N16" s="357">
        <f>((F16/1000)*(Dashboard!$D$30))/Dashboard!$D$6</f>
        <v>5.0000000000000001E-3</v>
      </c>
      <c r="O16" s="339">
        <v>85</v>
      </c>
      <c r="P16" s="395">
        <f>135*1.5</f>
        <v>202.5</v>
      </c>
      <c r="Q16" s="24">
        <f t="shared" si="3"/>
        <v>202.5</v>
      </c>
      <c r="R16" s="24">
        <f t="shared" si="4"/>
        <v>1.4375</v>
      </c>
      <c r="S16" s="24">
        <f t="shared" si="5"/>
        <v>8.625</v>
      </c>
      <c r="T16" s="331">
        <v>0</v>
      </c>
      <c r="U16" s="395">
        <f>135*1.5</f>
        <v>202.5</v>
      </c>
      <c r="V16" s="24">
        <f t="shared" si="10"/>
        <v>202.5</v>
      </c>
      <c r="W16" s="24">
        <f t="shared" si="11"/>
        <v>0</v>
      </c>
      <c r="X16" s="24">
        <f t="shared" si="7"/>
        <v>0</v>
      </c>
      <c r="Y16" s="25">
        <f t="shared" si="8"/>
        <v>2.08938449</v>
      </c>
      <c r="Z16" s="312">
        <f t="shared" si="9"/>
        <v>12.536306939999999</v>
      </c>
    </row>
    <row r="17" spans="1:26">
      <c r="A17" s="55" t="s">
        <v>109</v>
      </c>
      <c r="B17" s="54" t="s">
        <v>110</v>
      </c>
      <c r="C17" s="55"/>
      <c r="D17" s="83">
        <v>1</v>
      </c>
      <c r="E17" s="63"/>
      <c r="F17" s="290"/>
      <c r="G17" s="296"/>
      <c r="H17" s="319"/>
      <c r="I17" s="320"/>
      <c r="J17" s="328"/>
      <c r="K17" s="314"/>
      <c r="L17" s="314"/>
      <c r="M17" s="316"/>
      <c r="N17" s="363"/>
      <c r="O17" s="328"/>
      <c r="P17" s="328"/>
      <c r="Q17" s="314"/>
      <c r="R17" s="314"/>
      <c r="S17" s="314"/>
      <c r="T17" s="315"/>
      <c r="U17" s="222"/>
      <c r="V17" s="314"/>
      <c r="W17" s="314"/>
      <c r="X17" s="314"/>
      <c r="Y17" s="376"/>
      <c r="Z17" s="313"/>
    </row>
    <row r="18" spans="1:26" ht="8.25" customHeight="1">
      <c r="G18" s="280"/>
      <c r="H18" s="39"/>
      <c r="I18" s="39"/>
      <c r="J18" s="40"/>
      <c r="K18" s="40"/>
      <c r="L18" s="40"/>
      <c r="M18" s="40"/>
      <c r="N18" s="364"/>
      <c r="O18" s="40"/>
      <c r="P18" s="40"/>
      <c r="Q18" s="40"/>
      <c r="R18" s="40"/>
      <c r="S18" s="40"/>
      <c r="T18" s="40"/>
      <c r="U18" s="224"/>
      <c r="V18" s="40"/>
      <c r="W18" s="40"/>
      <c r="X18" s="40"/>
      <c r="Y18" s="40"/>
      <c r="Z18" s="40"/>
    </row>
    <row r="19" spans="1:26" ht="18.75">
      <c r="G19" s="280"/>
      <c r="H19" s="353"/>
      <c r="L19" s="43" t="s">
        <v>142</v>
      </c>
      <c r="M19" s="46">
        <f>SUM(M6:M17)</f>
        <v>41.199513298049993</v>
      </c>
      <c r="N19" s="360"/>
      <c r="O19" s="45"/>
      <c r="P19" s="45"/>
      <c r="Q19" s="45"/>
      <c r="R19" s="45"/>
      <c r="S19" s="46">
        <f>SUM(S6:S17)</f>
        <v>88.965000000000003</v>
      </c>
      <c r="T19" s="444"/>
      <c r="U19" s="40"/>
      <c r="V19" s="40"/>
      <c r="W19" s="45"/>
      <c r="X19" s="46">
        <f>SUM(X6:X17)</f>
        <v>0</v>
      </c>
      <c r="Y19" s="425"/>
      <c r="Z19" s="46">
        <f>SUM(Z6:Z17)</f>
        <v>130.16451329805</v>
      </c>
    </row>
    <row r="20" spans="1:26">
      <c r="A20" s="47"/>
    </row>
    <row r="21" spans="1:26">
      <c r="A21" s="47"/>
    </row>
    <row r="22" spans="1:26" ht="18.75">
      <c r="A22" s="526" t="str">
        <f>Maint_Base!A17</f>
        <v>College Ave (Roadway)</v>
      </c>
      <c r="B22" s="48"/>
      <c r="C22" s="48"/>
      <c r="D22" s="6"/>
      <c r="E22" s="7"/>
      <c r="F22" s="266"/>
      <c r="G22" s="277"/>
      <c r="H22" s="351"/>
      <c r="I22" s="158"/>
      <c r="J22" s="158"/>
      <c r="K22" s="158"/>
      <c r="L22" s="158"/>
      <c r="M22" s="158"/>
      <c r="N22" s="355"/>
      <c r="O22" s="158"/>
      <c r="P22" s="158"/>
      <c r="Q22" s="7"/>
      <c r="R22" s="158"/>
      <c r="S22" s="158"/>
      <c r="T22" s="158"/>
      <c r="U22" s="158"/>
      <c r="V22" s="158"/>
      <c r="W22" s="7"/>
      <c r="X22" s="158"/>
      <c r="Y22" s="179"/>
      <c r="Z22" s="428"/>
    </row>
    <row r="23" spans="1:26">
      <c r="A23" s="9"/>
      <c r="B23" s="10"/>
      <c r="C23" s="10"/>
      <c r="D23" s="11"/>
      <c r="E23" s="11"/>
      <c r="F23" s="267"/>
      <c r="G23" s="278"/>
      <c r="H23" s="563" t="s">
        <v>198</v>
      </c>
      <c r="I23" s="560"/>
      <c r="J23" s="560"/>
      <c r="K23" s="317">
        <v>0</v>
      </c>
      <c r="L23" s="418"/>
      <c r="M23" s="300"/>
      <c r="N23" s="565" t="s">
        <v>199</v>
      </c>
      <c r="O23" s="565"/>
      <c r="P23" s="565"/>
      <c r="Q23" s="19">
        <v>0</v>
      </c>
      <c r="R23" s="418"/>
      <c r="S23" s="300"/>
      <c r="T23" s="563" t="s">
        <v>200</v>
      </c>
      <c r="U23" s="560"/>
      <c r="V23" s="317">
        <v>0</v>
      </c>
      <c r="W23" s="297"/>
      <c r="X23" s="299"/>
      <c r="Y23" s="561" t="s">
        <v>182</v>
      </c>
      <c r="Z23" s="562"/>
    </row>
    <row r="24" spans="1:26">
      <c r="A24" s="15" t="s">
        <v>81</v>
      </c>
      <c r="B24" s="16" t="s">
        <v>82</v>
      </c>
      <c r="C24" s="16" t="s">
        <v>83</v>
      </c>
      <c r="D24" s="542" t="s">
        <v>84</v>
      </c>
      <c r="E24" s="542" t="s">
        <v>85</v>
      </c>
      <c r="F24" s="268" t="s">
        <v>183</v>
      </c>
      <c r="G24" s="279" t="s">
        <v>184</v>
      </c>
      <c r="H24" s="352" t="s">
        <v>185</v>
      </c>
      <c r="I24" s="542" t="s">
        <v>143</v>
      </c>
      <c r="J24" s="542" t="s">
        <v>125</v>
      </c>
      <c r="K24" s="299" t="s">
        <v>122</v>
      </c>
      <c r="L24" s="371" t="s">
        <v>186</v>
      </c>
      <c r="M24" s="417" t="s">
        <v>187</v>
      </c>
      <c r="N24" s="356" t="s">
        <v>185</v>
      </c>
      <c r="O24" s="305" t="s">
        <v>143</v>
      </c>
      <c r="P24" s="542" t="s">
        <v>125</v>
      </c>
      <c r="Q24" s="299" t="s">
        <v>122</v>
      </c>
      <c r="R24" s="371" t="s">
        <v>186</v>
      </c>
      <c r="S24" s="301" t="s">
        <v>187</v>
      </c>
      <c r="T24" s="540" t="s">
        <v>188</v>
      </c>
      <c r="U24" s="542" t="s">
        <v>125</v>
      </c>
      <c r="V24" s="299" t="s">
        <v>122</v>
      </c>
      <c r="W24" s="299" t="s">
        <v>186</v>
      </c>
      <c r="X24" s="318" t="s">
        <v>187</v>
      </c>
      <c r="Y24" s="427" t="s">
        <v>189</v>
      </c>
      <c r="Z24" s="431" t="s">
        <v>190</v>
      </c>
    </row>
    <row r="25" spans="1:26">
      <c r="A25" s="53" t="s">
        <v>167</v>
      </c>
      <c r="B25" s="55" t="s">
        <v>135</v>
      </c>
      <c r="C25" s="54" t="s">
        <v>168</v>
      </c>
      <c r="D25" s="56">
        <v>3</v>
      </c>
      <c r="E25" s="160" t="s">
        <v>93</v>
      </c>
      <c r="F25" s="272">
        <v>50000</v>
      </c>
      <c r="G25" s="321">
        <f>'OpHrs_Summary (Ref)'!$J$24</f>
        <v>4304.6641666666665</v>
      </c>
      <c r="H25" s="332">
        <f>(Dashboard!$D$29)/Dashboard!$D$6</f>
        <v>5.0000000000000001E-4</v>
      </c>
      <c r="I25" s="375">
        <f>Capital_R2!K25</f>
        <v>2894.1704999999997</v>
      </c>
      <c r="J25" s="363">
        <f>115*2</f>
        <v>230</v>
      </c>
      <c r="K25" s="65">
        <f t="shared" ref="K25" si="12">J25*(1+$K$4)</f>
        <v>230</v>
      </c>
      <c r="L25" s="65">
        <f>(I25+K25)*H25</f>
        <v>1.56208525</v>
      </c>
      <c r="M25" s="310">
        <f>L25*$D25</f>
        <v>4.6862557499999999</v>
      </c>
      <c r="N25" s="357">
        <f>((F25/1000)*(Dashboard!$D$30))/Dashboard!$D$6</f>
        <v>5.0000000000000001E-3</v>
      </c>
      <c r="O25" s="339">
        <f>85*2</f>
        <v>170</v>
      </c>
      <c r="P25" s="339">
        <f>115*2</f>
        <v>230</v>
      </c>
      <c r="Q25" s="325">
        <f t="shared" ref="Q25" si="13">P25*(1+$K$4)</f>
        <v>230</v>
      </c>
      <c r="R25" s="325">
        <f>(O25+Q25)*N25</f>
        <v>2</v>
      </c>
      <c r="S25" s="326">
        <f>R25*$D25</f>
        <v>6</v>
      </c>
      <c r="T25" s="332">
        <v>0</v>
      </c>
      <c r="U25" s="437">
        <f>115*2</f>
        <v>230</v>
      </c>
      <c r="V25" s="314">
        <f t="shared" ref="V25" si="14">U25*(1+$K$4)</f>
        <v>230</v>
      </c>
      <c r="W25" s="314">
        <f>(U25+V25)*T25</f>
        <v>0</v>
      </c>
      <c r="X25" s="314">
        <f t="shared" ref="X25" si="15">W25*$D25</f>
        <v>0</v>
      </c>
      <c r="Y25" s="376">
        <f>L25+R25+W25</f>
        <v>3.56208525</v>
      </c>
      <c r="Z25" s="58">
        <f>Y25*$D25</f>
        <v>10.686255750000001</v>
      </c>
    </row>
    <row r="26" spans="1:26">
      <c r="A26" s="53" t="s">
        <v>109</v>
      </c>
      <c r="B26" s="54" t="s">
        <v>110</v>
      </c>
      <c r="C26" s="55"/>
      <c r="D26" s="56">
        <v>1</v>
      </c>
      <c r="E26" s="57"/>
      <c r="F26" s="272"/>
      <c r="G26" s="291"/>
      <c r="H26" s="366"/>
      <c r="I26" s="367"/>
      <c r="J26" s="372"/>
      <c r="K26" s="373"/>
      <c r="L26" s="373"/>
      <c r="M26" s="374"/>
      <c r="N26" s="319"/>
      <c r="O26" s="320"/>
      <c r="P26" s="333"/>
      <c r="Q26" s="65"/>
      <c r="R26" s="65"/>
      <c r="S26" s="65"/>
      <c r="T26" s="448"/>
      <c r="U26" s="436"/>
      <c r="V26" s="303"/>
      <c r="W26" s="303"/>
      <c r="X26" s="303"/>
      <c r="Y26" s="34"/>
      <c r="Z26" s="400"/>
    </row>
    <row r="27" spans="1:26" ht="8.25" customHeight="1">
      <c r="A27" s="59"/>
      <c r="E27" s="38"/>
      <c r="G27" s="280"/>
      <c r="H27" s="39"/>
      <c r="I27" s="39"/>
      <c r="J27" s="40"/>
      <c r="K27" s="40"/>
      <c r="L27" s="40"/>
      <c r="M27" s="40"/>
      <c r="N27" s="364"/>
      <c r="O27" s="40"/>
      <c r="P27" s="40"/>
      <c r="Q27" s="40"/>
      <c r="R27" s="40"/>
      <c r="S27" s="40"/>
      <c r="T27" s="40"/>
      <c r="U27" s="224"/>
      <c r="V27" s="40"/>
      <c r="W27" s="40"/>
      <c r="X27" s="40"/>
      <c r="Y27" s="40"/>
      <c r="Z27" s="40"/>
    </row>
    <row r="28" spans="1:26" ht="18.75">
      <c r="G28" s="280"/>
      <c r="L28" s="43" t="s">
        <v>142</v>
      </c>
      <c r="M28" s="46">
        <f>M25+M26</f>
        <v>4.6862557499999999</v>
      </c>
      <c r="N28" s="365"/>
      <c r="O28" s="45"/>
      <c r="P28" s="45"/>
      <c r="Q28" s="45"/>
      <c r="R28" s="45"/>
      <c r="S28" s="46">
        <f>S25+S26</f>
        <v>6</v>
      </c>
      <c r="T28" s="444"/>
      <c r="U28" s="45"/>
      <c r="V28" s="45"/>
      <c r="W28" s="45"/>
      <c r="X28" s="46">
        <f>X25+X26</f>
        <v>0</v>
      </c>
      <c r="Z28" s="46">
        <f>Z25+Z26</f>
        <v>10.686255750000001</v>
      </c>
    </row>
    <row r="29" spans="1:26">
      <c r="A29" s="59"/>
      <c r="E29" s="38"/>
      <c r="Z29" s="60"/>
    </row>
    <row r="30" spans="1:26">
      <c r="A30" s="59"/>
      <c r="E30" s="38"/>
    </row>
    <row r="31" spans="1:26" ht="18.75">
      <c r="A31" s="522" t="str">
        <f>Maint_Base!A25</f>
        <v>College Ave (Area)</v>
      </c>
      <c r="B31" s="62"/>
      <c r="C31" s="62"/>
      <c r="D31" s="6"/>
      <c r="E31" s="6"/>
      <c r="F31" s="266"/>
      <c r="G31" s="277"/>
      <c r="H31" s="351"/>
      <c r="I31" s="158"/>
      <c r="J31" s="158"/>
      <c r="K31" s="158"/>
      <c r="L31" s="158"/>
      <c r="M31" s="158"/>
      <c r="N31" s="355"/>
      <c r="O31" s="158"/>
      <c r="P31" s="158"/>
      <c r="Q31" s="7"/>
      <c r="R31" s="158"/>
      <c r="S31" s="158"/>
      <c r="T31" s="158"/>
      <c r="U31" s="158"/>
      <c r="V31" s="158"/>
      <c r="W31" s="7"/>
      <c r="X31" s="158"/>
      <c r="Y31" s="179"/>
      <c r="Z31" s="428"/>
    </row>
    <row r="32" spans="1:26">
      <c r="A32" s="9"/>
      <c r="B32" s="10"/>
      <c r="C32" s="10"/>
      <c r="D32" s="11"/>
      <c r="E32" s="11"/>
      <c r="F32" s="267"/>
      <c r="G32" s="278"/>
      <c r="H32" s="563" t="s">
        <v>198</v>
      </c>
      <c r="I32" s="560"/>
      <c r="J32" s="560"/>
      <c r="K32" s="317">
        <v>0</v>
      </c>
      <c r="L32" s="418"/>
      <c r="M32" s="300"/>
      <c r="N32" s="565" t="s">
        <v>199</v>
      </c>
      <c r="O32" s="565"/>
      <c r="P32" s="565"/>
      <c r="Q32" s="19">
        <v>0</v>
      </c>
      <c r="R32" s="418"/>
      <c r="S32" s="300"/>
      <c r="T32" s="563" t="s">
        <v>200</v>
      </c>
      <c r="U32" s="560"/>
      <c r="V32" s="317">
        <v>0</v>
      </c>
      <c r="W32" s="297"/>
      <c r="X32" s="299"/>
      <c r="Y32" s="561" t="s">
        <v>182</v>
      </c>
      <c r="Z32" s="562"/>
    </row>
    <row r="33" spans="1:26">
      <c r="A33" s="15" t="s">
        <v>81</v>
      </c>
      <c r="B33" s="16" t="s">
        <v>82</v>
      </c>
      <c r="C33" s="16" t="s">
        <v>83</v>
      </c>
      <c r="D33" s="542" t="s">
        <v>84</v>
      </c>
      <c r="E33" s="542" t="s">
        <v>85</v>
      </c>
      <c r="F33" s="268" t="s">
        <v>183</v>
      </c>
      <c r="G33" s="279" t="s">
        <v>184</v>
      </c>
      <c r="H33" s="352" t="s">
        <v>185</v>
      </c>
      <c r="I33" s="542" t="s">
        <v>143</v>
      </c>
      <c r="J33" s="542" t="s">
        <v>125</v>
      </c>
      <c r="K33" s="299" t="s">
        <v>122</v>
      </c>
      <c r="L33" s="371" t="s">
        <v>186</v>
      </c>
      <c r="M33" s="417" t="s">
        <v>187</v>
      </c>
      <c r="N33" s="356" t="s">
        <v>185</v>
      </c>
      <c r="O33" s="305" t="s">
        <v>143</v>
      </c>
      <c r="P33" s="542" t="s">
        <v>125</v>
      </c>
      <c r="Q33" s="299" t="s">
        <v>122</v>
      </c>
      <c r="R33" s="371" t="s">
        <v>186</v>
      </c>
      <c r="S33" s="301" t="s">
        <v>187</v>
      </c>
      <c r="T33" s="540" t="s">
        <v>188</v>
      </c>
      <c r="U33" s="542" t="s">
        <v>125</v>
      </c>
      <c r="V33" s="299" t="s">
        <v>122</v>
      </c>
      <c r="W33" s="299" t="s">
        <v>186</v>
      </c>
      <c r="X33" s="318" t="s">
        <v>187</v>
      </c>
      <c r="Y33" s="427" t="s">
        <v>189</v>
      </c>
      <c r="Z33" s="431" t="s">
        <v>190</v>
      </c>
    </row>
    <row r="34" spans="1:26">
      <c r="A34" s="85" t="s">
        <v>146</v>
      </c>
      <c r="B34" s="73" t="s">
        <v>107</v>
      </c>
      <c r="C34" s="75" t="s">
        <v>169</v>
      </c>
      <c r="D34" s="74">
        <v>5</v>
      </c>
      <c r="E34" s="75"/>
      <c r="F34" s="272">
        <v>50000</v>
      </c>
      <c r="G34" s="291">
        <f>'OpHrs_Summary (Ref)'!$J$24</f>
        <v>4304.6641666666665</v>
      </c>
      <c r="H34" s="362">
        <f>(Dashboard!$D$29)/Dashboard!$D$6</f>
        <v>5.0000000000000001E-4</v>
      </c>
      <c r="I34" s="324">
        <f>Capital_R2!K34</f>
        <v>1694.4997229999997</v>
      </c>
      <c r="J34" s="363">
        <f>172+87.5</f>
        <v>259.5</v>
      </c>
      <c r="K34" s="325">
        <f t="shared" ref="K34" si="16">J34*(1+$K$4)</f>
        <v>259.5</v>
      </c>
      <c r="L34" s="325">
        <f>(I34+K34)*H34</f>
        <v>0.97699986149999984</v>
      </c>
      <c r="M34" s="326">
        <f>L34*$D34</f>
        <v>4.8849993074999993</v>
      </c>
      <c r="N34" s="357">
        <f>((F34/1000)*(Dashboard!$D$30))/Dashboard!$D$6</f>
        <v>5.0000000000000001E-3</v>
      </c>
      <c r="O34" s="339">
        <v>85</v>
      </c>
      <c r="P34" s="363">
        <f>172+87.5</f>
        <v>259.5</v>
      </c>
      <c r="Q34" s="325">
        <f t="shared" ref="Q34" si="17">P34*(1+$K$4)</f>
        <v>259.5</v>
      </c>
      <c r="R34" s="325">
        <f>(O34+Q34)*N34</f>
        <v>1.7225000000000001</v>
      </c>
      <c r="S34" s="326">
        <f>R34*$D34</f>
        <v>8.6125000000000007</v>
      </c>
      <c r="T34" s="332">
        <v>0</v>
      </c>
      <c r="U34" s="363">
        <f>172+87.5</f>
        <v>259.5</v>
      </c>
      <c r="V34" s="314">
        <f t="shared" ref="V34" si="18">U34*(1+$K$4)</f>
        <v>259.5</v>
      </c>
      <c r="W34" s="314">
        <f>(U34+V34)*T34</f>
        <v>0</v>
      </c>
      <c r="X34" s="316">
        <f t="shared" ref="X34" si="19">W34*$D34</f>
        <v>0</v>
      </c>
      <c r="Y34" s="376">
        <f>L34+R34+W34</f>
        <v>2.6994998615000001</v>
      </c>
      <c r="Z34" s="58">
        <f>Y34*$D34</f>
        <v>13.4974993075</v>
      </c>
    </row>
    <row r="35" spans="1:26">
      <c r="A35" s="68" t="s">
        <v>109</v>
      </c>
      <c r="B35" s="55" t="s">
        <v>110</v>
      </c>
      <c r="C35" s="54"/>
      <c r="D35" s="56">
        <v>1</v>
      </c>
      <c r="E35" s="57"/>
      <c r="F35" s="272"/>
      <c r="G35" s="291"/>
      <c r="H35" s="319"/>
      <c r="I35" s="320"/>
      <c r="J35" s="333"/>
      <c r="K35" s="65"/>
      <c r="L35" s="65"/>
      <c r="M35" s="310"/>
      <c r="N35" s="319"/>
      <c r="O35" s="320"/>
      <c r="P35" s="333"/>
      <c r="Q35" s="65"/>
      <c r="R35" s="65"/>
      <c r="S35" s="310"/>
      <c r="T35" s="448"/>
      <c r="U35" s="436"/>
      <c r="V35" s="303"/>
      <c r="W35" s="303"/>
      <c r="X35" s="304"/>
      <c r="Y35" s="34"/>
      <c r="Z35" s="400"/>
    </row>
    <row r="36" spans="1:26" ht="8.25" customHeight="1">
      <c r="A36" s="59"/>
      <c r="E36" s="38"/>
      <c r="G36" s="280"/>
      <c r="H36" s="39"/>
      <c r="I36" s="39"/>
      <c r="J36" s="40"/>
      <c r="K36" s="40"/>
      <c r="L36" s="40"/>
      <c r="M36" s="40"/>
      <c r="N36" s="364"/>
      <c r="O36" s="40"/>
      <c r="P36" s="40"/>
      <c r="Q36" s="40"/>
      <c r="R36" s="40"/>
      <c r="S36" s="40"/>
      <c r="T36" s="40"/>
      <c r="U36" s="224"/>
      <c r="V36" s="40"/>
      <c r="W36" s="40"/>
      <c r="X36" s="40"/>
      <c r="Y36" s="40"/>
      <c r="Z36" s="40"/>
    </row>
    <row r="37" spans="1:26" ht="18.75">
      <c r="G37" s="280"/>
      <c r="L37" s="43" t="s">
        <v>142</v>
      </c>
      <c r="M37" s="46">
        <f>M34+M35</f>
        <v>4.8849993074999993</v>
      </c>
      <c r="N37" s="365"/>
      <c r="O37" s="45"/>
      <c r="P37" s="45"/>
      <c r="Q37" s="45"/>
      <c r="R37" s="45"/>
      <c r="S37" s="46">
        <f>S34+S35</f>
        <v>8.6125000000000007</v>
      </c>
      <c r="T37" s="444"/>
      <c r="U37" s="45"/>
      <c r="V37" s="45"/>
      <c r="W37" s="45"/>
      <c r="X37" s="46">
        <f>X34+X35</f>
        <v>0</v>
      </c>
      <c r="Z37" s="46">
        <f>Z34+Z35</f>
        <v>13.4974993075</v>
      </c>
    </row>
    <row r="38" spans="1:26">
      <c r="A38" s="47"/>
      <c r="Z38" s="60"/>
    </row>
    <row r="39" spans="1:26">
      <c r="A39" s="47"/>
    </row>
    <row r="40" spans="1:26" ht="18.75">
      <c r="A40" s="518" t="str">
        <f>Maint_Base!A33</f>
        <v>College Ave (Decorative)</v>
      </c>
      <c r="B40" s="69"/>
      <c r="C40" s="69"/>
      <c r="D40" s="6"/>
      <c r="E40" s="7"/>
      <c r="F40" s="266"/>
      <c r="G40" s="277"/>
      <c r="H40" s="351"/>
      <c r="I40" s="158"/>
      <c r="J40" s="158"/>
      <c r="K40" s="158"/>
      <c r="L40" s="158"/>
      <c r="M40" s="158"/>
      <c r="N40" s="355"/>
      <c r="O40" s="158"/>
      <c r="P40" s="158"/>
      <c r="Q40" s="7"/>
      <c r="R40" s="158"/>
      <c r="S40" s="158"/>
      <c r="T40" s="158"/>
      <c r="U40" s="158"/>
      <c r="V40" s="158"/>
      <c r="W40" s="7"/>
      <c r="X40" s="158"/>
      <c r="Y40" s="179"/>
      <c r="Z40" s="428"/>
    </row>
    <row r="41" spans="1:26">
      <c r="A41" s="9"/>
      <c r="B41" s="10"/>
      <c r="C41" s="10"/>
      <c r="D41" s="11"/>
      <c r="E41" s="11"/>
      <c r="F41" s="267"/>
      <c r="G41" s="278"/>
      <c r="H41" s="563" t="s">
        <v>198</v>
      </c>
      <c r="I41" s="560"/>
      <c r="J41" s="560"/>
      <c r="K41" s="317">
        <v>0</v>
      </c>
      <c r="L41" s="418"/>
      <c r="M41" s="300"/>
      <c r="N41" s="565" t="s">
        <v>199</v>
      </c>
      <c r="O41" s="565"/>
      <c r="P41" s="565"/>
      <c r="Q41" s="19">
        <v>0</v>
      </c>
      <c r="R41" s="418"/>
      <c r="S41" s="300"/>
      <c r="T41" s="566" t="s">
        <v>200</v>
      </c>
      <c r="U41" s="567"/>
      <c r="V41" s="429">
        <v>0</v>
      </c>
      <c r="W41" s="419"/>
      <c r="X41" s="298"/>
      <c r="Y41" s="561" t="s">
        <v>182</v>
      </c>
      <c r="Z41" s="562"/>
    </row>
    <row r="42" spans="1:26">
      <c r="A42" s="15" t="s">
        <v>81</v>
      </c>
      <c r="B42" s="16" t="s">
        <v>82</v>
      </c>
      <c r="C42" s="16" t="s">
        <v>83</v>
      </c>
      <c r="D42" s="542" t="s">
        <v>84</v>
      </c>
      <c r="E42" s="542" t="s">
        <v>85</v>
      </c>
      <c r="F42" s="268" t="s">
        <v>183</v>
      </c>
      <c r="G42" s="279" t="s">
        <v>184</v>
      </c>
      <c r="H42" s="352" t="s">
        <v>185</v>
      </c>
      <c r="I42" s="542" t="s">
        <v>143</v>
      </c>
      <c r="J42" s="542" t="s">
        <v>125</v>
      </c>
      <c r="K42" s="299" t="s">
        <v>122</v>
      </c>
      <c r="L42" s="371" t="s">
        <v>186</v>
      </c>
      <c r="M42" s="417" t="s">
        <v>187</v>
      </c>
      <c r="N42" s="356" t="s">
        <v>185</v>
      </c>
      <c r="O42" s="305" t="s">
        <v>143</v>
      </c>
      <c r="P42" s="542" t="s">
        <v>125</v>
      </c>
      <c r="Q42" s="299" t="s">
        <v>122</v>
      </c>
      <c r="R42" s="371" t="s">
        <v>186</v>
      </c>
      <c r="S42" s="305" t="s">
        <v>187</v>
      </c>
      <c r="T42" s="540" t="s">
        <v>188</v>
      </c>
      <c r="U42" s="538" t="s">
        <v>125</v>
      </c>
      <c r="V42" s="299" t="s">
        <v>122</v>
      </c>
      <c r="W42" s="299" t="s">
        <v>186</v>
      </c>
      <c r="X42" s="318" t="s">
        <v>187</v>
      </c>
      <c r="Y42" s="427" t="s">
        <v>189</v>
      </c>
      <c r="Z42" s="431" t="s">
        <v>190</v>
      </c>
    </row>
    <row r="43" spans="1:26">
      <c r="A43" s="87" t="s">
        <v>170</v>
      </c>
      <c r="B43" s="88" t="s">
        <v>165</v>
      </c>
      <c r="C43" s="81" t="s">
        <v>171</v>
      </c>
      <c r="D43" s="74">
        <v>10</v>
      </c>
      <c r="E43" s="89" t="s">
        <v>117</v>
      </c>
      <c r="F43" s="272">
        <v>50000</v>
      </c>
      <c r="G43" s="321">
        <f>'OpHrs_Summary (Ref)'!$J$24</f>
        <v>4304.6641666666665</v>
      </c>
      <c r="H43" s="332">
        <f>(Dashboard!$D$29)/Dashboard!$D$6</f>
        <v>5.0000000000000001E-4</v>
      </c>
      <c r="I43" s="375">
        <f>Capital_R2!K43</f>
        <v>3940.524449999999</v>
      </c>
      <c r="J43" s="363">
        <f>115*2</f>
        <v>230</v>
      </c>
      <c r="K43" s="65">
        <f t="shared" ref="K43" si="20">J43*(1+$K$4)</f>
        <v>230</v>
      </c>
      <c r="L43" s="65">
        <f>(I43+K43)*H43</f>
        <v>2.0852622249999997</v>
      </c>
      <c r="M43" s="310">
        <f>L43*$D43</f>
        <v>20.852622249999996</v>
      </c>
      <c r="N43" s="357">
        <f>((F43/1000)*(Dashboard!$D$30))/Dashboard!$D$6</f>
        <v>5.0000000000000001E-3</v>
      </c>
      <c r="O43" s="339">
        <f>85*2</f>
        <v>170</v>
      </c>
      <c r="P43" s="339">
        <f>115*2</f>
        <v>230</v>
      </c>
      <c r="Q43" s="325">
        <f t="shared" ref="Q43" si="21">P43*(1+$K$4)</f>
        <v>230</v>
      </c>
      <c r="R43" s="325">
        <f>(O43+Q43)*N43</f>
        <v>2</v>
      </c>
      <c r="S43" s="325">
        <f>R43*$D43</f>
        <v>20</v>
      </c>
      <c r="T43" s="332">
        <v>0</v>
      </c>
      <c r="U43" s="437">
        <f>115*2</f>
        <v>230</v>
      </c>
      <c r="V43" s="314">
        <f t="shared" ref="V43" si="22">U43*(1+$K$4)</f>
        <v>230</v>
      </c>
      <c r="W43" s="314">
        <f>(U43+V43)*T43</f>
        <v>0</v>
      </c>
      <c r="X43" s="316">
        <f t="shared" ref="X43" si="23">W43*$D43</f>
        <v>0</v>
      </c>
      <c r="Y43" s="376">
        <f>L43+R43+W43</f>
        <v>4.0852622249999992</v>
      </c>
      <c r="Z43" s="58">
        <f>Y43*$D43</f>
        <v>40.852622249999996</v>
      </c>
    </row>
    <row r="44" spans="1:26">
      <c r="A44" s="68" t="s">
        <v>109</v>
      </c>
      <c r="B44" s="55" t="s">
        <v>110</v>
      </c>
      <c r="C44" s="54"/>
      <c r="D44" s="56">
        <v>1</v>
      </c>
      <c r="E44" s="57"/>
      <c r="F44" s="272"/>
      <c r="G44" s="291"/>
      <c r="H44" s="366"/>
      <c r="I44" s="367"/>
      <c r="J44" s="372"/>
      <c r="K44" s="373"/>
      <c r="L44" s="373"/>
      <c r="M44" s="374"/>
      <c r="N44" s="319"/>
      <c r="O44" s="320"/>
      <c r="P44" s="333"/>
      <c r="Q44" s="65"/>
      <c r="R44" s="65"/>
      <c r="S44" s="65"/>
      <c r="T44" s="448"/>
      <c r="U44" s="436"/>
      <c r="V44" s="303"/>
      <c r="W44" s="303"/>
      <c r="X44" s="304"/>
      <c r="Y44" s="34"/>
      <c r="Z44" s="400"/>
    </row>
    <row r="45" spans="1:26" ht="8.25" customHeight="1">
      <c r="A45" s="91"/>
      <c r="E45" s="38"/>
      <c r="G45" s="280"/>
      <c r="H45" s="70"/>
      <c r="I45" s="70"/>
      <c r="J45" s="71"/>
      <c r="K45" s="71"/>
      <c r="L45" s="71"/>
      <c r="M45" s="71"/>
      <c r="N45" s="70"/>
      <c r="O45" s="71"/>
      <c r="P45" s="71"/>
      <c r="Q45" s="71"/>
      <c r="R45" s="71"/>
      <c r="S45" s="71"/>
      <c r="T45" s="71"/>
      <c r="U45" s="224"/>
      <c r="V45" s="71"/>
      <c r="W45" s="71"/>
      <c r="X45" s="71"/>
      <c r="Y45" s="71"/>
      <c r="Z45" s="72"/>
    </row>
    <row r="46" spans="1:26" ht="18.75">
      <c r="G46" s="280"/>
      <c r="L46" s="43" t="s">
        <v>142</v>
      </c>
      <c r="M46" s="46">
        <f>M43+M44</f>
        <v>20.852622249999996</v>
      </c>
      <c r="N46" s="365"/>
      <c r="O46" s="45"/>
      <c r="P46" s="45"/>
      <c r="Q46" s="45"/>
      <c r="R46" s="45"/>
      <c r="S46" s="46">
        <f>S43+S44</f>
        <v>20</v>
      </c>
      <c r="T46" s="444"/>
      <c r="U46" s="45"/>
      <c r="V46" s="45"/>
      <c r="W46" s="45"/>
      <c r="X46" s="46">
        <f>X43+X44</f>
        <v>0</v>
      </c>
      <c r="Z46" s="46">
        <f>Z43+Z44</f>
        <v>40.852622249999996</v>
      </c>
    </row>
  </sheetData>
  <mergeCells count="16">
    <mergeCell ref="Y4:Z4"/>
    <mergeCell ref="Y23:Z23"/>
    <mergeCell ref="Y32:Z32"/>
    <mergeCell ref="Y41:Z41"/>
    <mergeCell ref="H32:J32"/>
    <mergeCell ref="N32:P32"/>
    <mergeCell ref="T32:U32"/>
    <mergeCell ref="H41:J41"/>
    <mergeCell ref="N41:P41"/>
    <mergeCell ref="T41:U41"/>
    <mergeCell ref="H4:J4"/>
    <mergeCell ref="N4:P4"/>
    <mergeCell ref="T4:U4"/>
    <mergeCell ref="N23:P23"/>
    <mergeCell ref="H23:J23"/>
    <mergeCell ref="T23:U23"/>
  </mergeCells>
  <hyperlinks>
    <hyperlink ref="A43" r:id="rId1" xr:uid="{5816C940-4785-4E42-B036-FFD357EED0FC}"/>
    <hyperlink ref="A26" r:id="rId2" display="C2@180 R2" xr:uid="{A3B8BB98-A80A-4511-9C65-3D5F3EBCB450}"/>
    <hyperlink ref="A44" r:id="rId3" display="C2@180 R2" xr:uid="{A3161BE2-4633-44B0-A4CE-D3B9AF8EDDCB}"/>
    <hyperlink ref="A35" r:id="rId4" display="C2@180 R2" xr:uid="{538CC9AC-E812-4ADF-B700-F004E08745B5}"/>
    <hyperlink ref="A25" r:id="rId5" xr:uid="{4C7A7D0C-977B-4CC3-833C-CB49AFA95AC4}"/>
    <hyperlink ref="A11" r:id="rId6" xr:uid="{EB351C06-90F2-43B9-9C30-62B3B2350D0A}"/>
    <hyperlink ref="A8" r:id="rId7" xr:uid="{8C790C1D-8D20-4F88-BE0C-20A2050238B3}"/>
    <hyperlink ref="A7" r:id="rId8" xr:uid="{3650EE25-5B75-479E-969F-546C8247E254}"/>
  </hyperlinks>
  <pageMargins left="0.7" right="0.7" top="0.75" bottom="0.75" header="0.3" footer="0.3"/>
  <pageSetup orientation="portrait" r:id="rId9"/>
  <legacyDrawing r:id="rId1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Tony Esposito</dc:creator>
  <cp:keywords/>
  <dc:description/>
  <cp:lastModifiedBy>Leora Radetsky</cp:lastModifiedBy>
  <cp:revision/>
  <dcterms:created xsi:type="dcterms:W3CDTF">2023-05-29T22:45:04Z</dcterms:created>
  <dcterms:modified xsi:type="dcterms:W3CDTF">2024-06-03T12:58:10Z</dcterms:modified>
  <cp:category/>
  <cp:contentStatus/>
</cp:coreProperties>
</file>